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95"/>
  </bookViews>
  <sheets>
    <sheet name="Posiçãofinanceira" sheetId="1" r:id="rId1"/>
    <sheet name="Balanço" sheetId="2" r:id="rId2"/>
    <sheet name="ExtratoComprovaçaoSaldo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B7" i="1"/>
  <c r="M27" i="2" l="1"/>
  <c r="M36" i="2"/>
  <c r="M16" i="2"/>
  <c r="M20" i="2"/>
  <c r="D22" i="2" l="1"/>
  <c r="D35" i="2"/>
  <c r="B53" i="2" l="1"/>
  <c r="B44" i="2" s="1"/>
  <c r="K54" i="2"/>
  <c r="K30" i="2"/>
  <c r="K36" i="2"/>
  <c r="J8" i="2"/>
  <c r="J54" i="2"/>
  <c r="J45" i="2" s="1"/>
  <c r="J20" i="2"/>
  <c r="J37" i="2"/>
  <c r="I44" i="2"/>
  <c r="I20" i="2"/>
  <c r="I37" i="2"/>
  <c r="I54" i="2"/>
  <c r="I53" i="2"/>
  <c r="H39" i="2"/>
  <c r="H53" i="2"/>
  <c r="H54" i="2"/>
  <c r="H37" i="2"/>
  <c r="G36" i="2"/>
  <c r="G20" i="2"/>
  <c r="G37" i="2"/>
  <c r="G53" i="2"/>
  <c r="F53" i="2"/>
  <c r="F37" i="2"/>
  <c r="E9" i="2"/>
  <c r="E37" i="2"/>
  <c r="E53" i="2"/>
  <c r="E54" i="2"/>
  <c r="D9" i="2"/>
  <c r="D20" i="2"/>
  <c r="D37" i="2"/>
  <c r="D54" i="2"/>
  <c r="D53" i="2"/>
  <c r="C53" i="2"/>
  <c r="C9" i="2"/>
  <c r="C8" i="2"/>
  <c r="B8" i="2"/>
  <c r="B9" i="2"/>
  <c r="B18" i="2" l="1"/>
  <c r="M18" i="2"/>
  <c r="L18" i="2"/>
  <c r="K18" i="2"/>
  <c r="J18" i="2"/>
  <c r="I18" i="2"/>
  <c r="H18" i="2"/>
  <c r="G18" i="2"/>
  <c r="F18" i="2"/>
  <c r="E18" i="2"/>
  <c r="D18" i="2"/>
  <c r="O56" i="2" l="1"/>
  <c r="O55" i="2"/>
  <c r="B57" i="2"/>
  <c r="C52" i="2" s="1"/>
  <c r="C57" i="2" s="1"/>
  <c r="D52" i="2" s="1"/>
  <c r="D57" i="2" s="1"/>
  <c r="E52" i="2" s="1"/>
  <c r="E57" i="2" s="1"/>
  <c r="F52" i="2" s="1"/>
  <c r="F57" i="2" s="1"/>
  <c r="G52" i="2" s="1"/>
  <c r="G57" i="2" s="1"/>
  <c r="H52" i="2" s="1"/>
  <c r="H57" i="2" s="1"/>
  <c r="I52" i="2" s="1"/>
  <c r="I57" i="2" s="1"/>
  <c r="J52" i="2" s="1"/>
  <c r="J57" i="2" s="1"/>
  <c r="K52" i="2" s="1"/>
  <c r="K57" i="2" s="1"/>
  <c r="L52" i="2" s="1"/>
  <c r="L57" i="2" s="1"/>
  <c r="M52" i="2" s="1"/>
  <c r="M57" i="2" s="1"/>
  <c r="N48" i="2"/>
  <c r="M45" i="2"/>
  <c r="L45" i="2"/>
  <c r="K45" i="2"/>
  <c r="I45" i="2"/>
  <c r="H45" i="2"/>
  <c r="G45" i="2"/>
  <c r="F45" i="2"/>
  <c r="E45" i="2"/>
  <c r="D45" i="2"/>
  <c r="C45" i="2"/>
  <c r="B45" i="2"/>
  <c r="M44" i="2"/>
  <c r="L44" i="2"/>
  <c r="K44" i="2"/>
  <c r="J44" i="2"/>
  <c r="H44" i="2"/>
  <c r="G44" i="2"/>
  <c r="F44" i="2"/>
  <c r="E44" i="2"/>
  <c r="D44" i="2"/>
  <c r="C44" i="2"/>
  <c r="M40" i="2"/>
  <c r="L40" i="2"/>
  <c r="K40" i="2"/>
  <c r="J40" i="2"/>
  <c r="I40" i="2"/>
  <c r="H40" i="2"/>
  <c r="H42" i="2" s="1"/>
  <c r="G40" i="2"/>
  <c r="G42" i="2" s="1"/>
  <c r="F40" i="2"/>
  <c r="E40" i="2"/>
  <c r="D40" i="2"/>
  <c r="C40" i="2"/>
  <c r="B40" i="2"/>
  <c r="B42" i="2" s="1"/>
  <c r="O39" i="2"/>
  <c r="O38" i="2"/>
  <c r="O37" i="2"/>
  <c r="O36" i="2"/>
  <c r="O35" i="2"/>
  <c r="M33" i="2"/>
  <c r="L33" i="2"/>
  <c r="K33" i="2"/>
  <c r="J33" i="2"/>
  <c r="I33" i="2"/>
  <c r="H33" i="2"/>
  <c r="G33" i="2"/>
  <c r="F33" i="2"/>
  <c r="E33" i="2"/>
  <c r="D33" i="2"/>
  <c r="C33" i="2"/>
  <c r="B33" i="2"/>
  <c r="O32" i="2"/>
  <c r="O31" i="2"/>
  <c r="O30" i="2"/>
  <c r="O29" i="2"/>
  <c r="O28" i="2"/>
  <c r="O27" i="2"/>
  <c r="M25" i="2"/>
  <c r="L25" i="2"/>
  <c r="K25" i="2"/>
  <c r="J25" i="2"/>
  <c r="I25" i="2"/>
  <c r="H25" i="2"/>
  <c r="G25" i="2"/>
  <c r="F25" i="2"/>
  <c r="E25" i="2"/>
  <c r="D25" i="2"/>
  <c r="C25" i="2"/>
  <c r="B25" i="2"/>
  <c r="O24" i="2"/>
  <c r="O23" i="2"/>
  <c r="O22" i="2"/>
  <c r="O20" i="2"/>
  <c r="C18" i="2"/>
  <c r="O17" i="2"/>
  <c r="O16" i="2"/>
  <c r="M12" i="2"/>
  <c r="L12" i="2"/>
  <c r="K12" i="2"/>
  <c r="J12" i="2"/>
  <c r="I12" i="2"/>
  <c r="H12" i="2"/>
  <c r="G12" i="2"/>
  <c r="F12" i="2"/>
  <c r="E12" i="2"/>
  <c r="D12" i="2"/>
  <c r="C12" i="2"/>
  <c r="B12" i="2"/>
  <c r="O11" i="2"/>
  <c r="O10" i="2"/>
  <c r="O9" i="2"/>
  <c r="O8" i="2"/>
  <c r="O7" i="2"/>
  <c r="M42" i="2" l="1"/>
  <c r="L42" i="2"/>
  <c r="O44" i="2"/>
  <c r="O53" i="2" s="1"/>
  <c r="D42" i="2"/>
  <c r="O45" i="2"/>
  <c r="O54" i="2" s="1"/>
  <c r="K42" i="2"/>
  <c r="I42" i="2"/>
  <c r="E42" i="2"/>
  <c r="O40" i="2"/>
  <c r="O33" i="2"/>
  <c r="O25" i="2"/>
  <c r="C42" i="2"/>
  <c r="J42" i="2"/>
  <c r="O18" i="2"/>
  <c r="F42" i="2"/>
  <c r="O12" i="2"/>
  <c r="B13" i="1"/>
  <c r="O52" i="2"/>
  <c r="O5" i="2"/>
  <c r="B48" i="2"/>
  <c r="B60" i="2" s="1"/>
  <c r="O57" i="2" l="1"/>
  <c r="O42" i="2"/>
  <c r="O48" i="2" s="1"/>
  <c r="C5" i="2"/>
  <c r="C48" i="2" s="1"/>
  <c r="O60" i="2" l="1"/>
  <c r="D5" i="2"/>
  <c r="D48" i="2" s="1"/>
  <c r="C60" i="2"/>
  <c r="D60" i="2" l="1"/>
  <c r="E5" i="2"/>
  <c r="E48" i="2" s="1"/>
  <c r="F5" i="2" l="1"/>
  <c r="F48" i="2" s="1"/>
  <c r="E60" i="2"/>
  <c r="G5" i="2" l="1"/>
  <c r="G48" i="2" s="1"/>
  <c r="F60" i="2"/>
  <c r="G60" i="2" l="1"/>
  <c r="H5" i="2"/>
  <c r="H48" i="2" s="1"/>
  <c r="I5" i="2" l="1"/>
  <c r="I48" i="2" s="1"/>
  <c r="H60" i="2"/>
  <c r="J5" i="2" l="1"/>
  <c r="J48" i="2" s="1"/>
  <c r="I60" i="2"/>
  <c r="J60" i="2" l="1"/>
  <c r="K5" i="2"/>
  <c r="K48" i="2" s="1"/>
  <c r="K60" i="2" l="1"/>
  <c r="L5" i="2"/>
  <c r="L48" i="2" s="1"/>
  <c r="M5" i="2" l="1"/>
  <c r="M48" i="2" s="1"/>
  <c r="M60" i="2" s="1"/>
  <c r="L60" i="2"/>
</calcChain>
</file>

<file path=xl/comments1.xml><?xml version="1.0" encoding="utf-8"?>
<comments xmlns="http://schemas.openxmlformats.org/spreadsheetml/2006/main">
  <authors>
    <author>Clayton Nogueira</author>
  </authors>
  <commentList>
    <comment ref="K16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pago por Clayton e reembolsado</t>
        </r>
      </text>
    </comment>
    <comment ref="L27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Placas Homenagem 250</t>
        </r>
      </text>
    </comment>
    <comment ref="M27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clerio Portaria Festa 150
recebido dada 100,03
devoluçao restaurante recebido via cartão 1150
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encontro coordenadores</t>
        </r>
      </text>
    </comment>
    <comment ref="L30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0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Vale Natal func chac e colaboradores</t>
        </r>
      </text>
    </comment>
    <comment ref="M31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Chow fotos finais
</t>
        </r>
      </text>
    </comment>
    <comment ref="B35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Celso Jorge</t>
        </r>
      </text>
    </comment>
    <comment ref="D35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Celso e Clayton</t>
        </r>
      </text>
    </comment>
    <comment ref="E35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Clayton CN
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Celso Jorge
</t>
        </r>
      </text>
    </comment>
    <comment ref="J35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celso jorge
</t>
        </r>
      </text>
    </comment>
    <comment ref="K35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Wilson Rodrigues Flores e Cartorio</t>
        </r>
      </text>
    </comment>
    <comment ref="G36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Boletos em atraso, liquidos de desconto do patrocinio.</t>
        </r>
      </text>
    </comment>
    <comment ref="J36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Atas
</t>
        </r>
      </text>
    </comment>
    <comment ref="B39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Reembolso Celso Jorge
</t>
        </r>
      </text>
    </comment>
    <comment ref="H39" authorId="0">
      <text>
        <r>
          <rPr>
            <b/>
            <sz val="9"/>
            <color indexed="81"/>
            <rFont val="Tahoma"/>
            <charset val="1"/>
          </rPr>
          <t>Clayton Nogueira:</t>
        </r>
        <r>
          <rPr>
            <sz val="9"/>
            <color indexed="81"/>
            <rFont val="Tahoma"/>
            <charset val="1"/>
          </rPr>
          <t xml:space="preserve">
Prefeitura
</t>
        </r>
      </text>
    </comment>
  </commentList>
</comments>
</file>

<file path=xl/sharedStrings.xml><?xml version="1.0" encoding="utf-8"?>
<sst xmlns="http://schemas.openxmlformats.org/spreadsheetml/2006/main" count="136" uniqueCount="97">
  <si>
    <t>Uniforme</t>
  </si>
  <si>
    <t>Placas</t>
  </si>
  <si>
    <t>Bolas</t>
  </si>
  <si>
    <t>Inscrições</t>
  </si>
  <si>
    <t>Lanche</t>
  </si>
  <si>
    <t>Arbitragem</t>
  </si>
  <si>
    <t>Outros</t>
  </si>
  <si>
    <t>Patrocínio</t>
  </si>
  <si>
    <t>Ambulancia</t>
  </si>
  <si>
    <t>Festas/premiação</t>
  </si>
  <si>
    <t>Rendimentos</t>
  </si>
  <si>
    <t xml:space="preserve"> Descrição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</si>
  <si>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</si>
  <si>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</si>
  <si>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</si>
  <si>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</si>
  <si>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</si>
  <si>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</si>
  <si>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</si>
  <si>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</si>
  <si>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</si>
  <si>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</si>
  <si>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</si>
  <si>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</si>
  <si>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 Total</t>
  </si>
  <si>
    <t xml:space="preserve"> Inscriçoes/rembolsos a receber</t>
  </si>
  <si>
    <t xml:space="preserve"> Reembolsos</t>
  </si>
  <si>
    <t xml:space="preserve"> Patrocínios recebidos - 2015</t>
  </si>
  <si>
    <t xml:space="preserve"> Total Receitas</t>
  </si>
  <si>
    <t xml:space="preserve"> Despesas</t>
  </si>
  <si>
    <t xml:space="preserve"> Arbitragem</t>
  </si>
  <si>
    <t xml:space="preserve"> Lanches, bebidas, gás e outros</t>
  </si>
  <si>
    <t xml:space="preserve"> Uniformes</t>
  </si>
  <si>
    <t xml:space="preserve"> Bolas, redes</t>
  </si>
  <si>
    <t>Placas e Publicidade</t>
  </si>
  <si>
    <t xml:space="preserve"> Total Material Esportivo</t>
  </si>
  <si>
    <t xml:space="preserve"> Festa Encerramento</t>
  </si>
  <si>
    <t xml:space="preserve"> Trofeus</t>
  </si>
  <si>
    <t xml:space="preserve"> Filmagem</t>
  </si>
  <si>
    <t xml:space="preserve"> Total Festa e Eventos</t>
  </si>
  <si>
    <t>Adiantamentos a rembolsar</t>
  </si>
  <si>
    <t xml:space="preserve"> Escritório de Contabilidade </t>
  </si>
  <si>
    <t xml:space="preserve"> Despesas bancárias</t>
  </si>
  <si>
    <t xml:space="preserve"> Site</t>
  </si>
  <si>
    <t xml:space="preserve"> DIPJ, outros documentos</t>
  </si>
  <si>
    <t xml:space="preserve"> Total Diversos</t>
  </si>
  <si>
    <t xml:space="preserve"> Total Despesas</t>
  </si>
  <si>
    <t xml:space="preserve"> Trasferências C/C para C/I</t>
  </si>
  <si>
    <t xml:space="preserve"> Trasferências C/I para C/C</t>
  </si>
  <si>
    <t xml:space="preserve"> Saldo Final C/C</t>
  </si>
  <si>
    <t xml:space="preserve"> Conta Investimento - Itau Plus CP</t>
  </si>
  <si>
    <t xml:space="preserve"> Aplicações</t>
  </si>
  <si>
    <t xml:space="preserve"> Resgates </t>
  </si>
  <si>
    <t xml:space="preserve"> IRRF + IOF</t>
  </si>
  <si>
    <t xml:space="preserve"> Saldo Final C/I</t>
  </si>
  <si>
    <t xml:space="preserve"> Total disponível AFP (C/C + C/I)</t>
  </si>
  <si>
    <t xml:space="preserve"> * Documentos (NFs, recibos, etc) estão disponíveis aos interessados.</t>
  </si>
  <si>
    <t>Balancete Associação Futebol dos Pais 2015</t>
  </si>
  <si>
    <t xml:space="preserve"> Inscriçoes recebidas - 2015</t>
  </si>
  <si>
    <t xml:space="preserve"> Patrocínios recebidos - 2016</t>
  </si>
  <si>
    <t xml:space="preserve"> Rendimento liquido</t>
  </si>
  <si>
    <t>Saldo 31/12/2014</t>
  </si>
  <si>
    <t xml:space="preserve"> Restaurante/Priscila/Cestas/encontro coordenadores</t>
  </si>
  <si>
    <t>Dia das Crianças / vale natal funcionarios chac</t>
  </si>
  <si>
    <t xml:space="preserve"> Total Arbitragem + Ambulância</t>
  </si>
  <si>
    <t>**Saldo 31/12/2014 ( -) 1935,00 a receber</t>
  </si>
  <si>
    <t xml:space="preserve"> Saldo anterior **</t>
  </si>
  <si>
    <t>Saldo 31/12/2015</t>
  </si>
  <si>
    <r>
      <t>Nome:</t>
    </r>
    <r>
      <rPr>
        <sz val="10"/>
        <color theme="1"/>
        <rFont val="Tahoma"/>
        <family val="2"/>
      </rPr>
      <t> ASSOCIACAO FUTEBOL DE PAIS</t>
    </r>
  </si>
  <si>
    <r>
      <t>Agência/Conta:</t>
    </r>
    <r>
      <rPr>
        <sz val="10"/>
        <color theme="1"/>
        <rFont val="Tahoma"/>
        <family val="2"/>
      </rPr>
      <t> 0368/63887-0</t>
    </r>
  </si>
  <si>
    <r>
      <t>Data:</t>
    </r>
    <r>
      <rPr>
        <sz val="10"/>
        <color theme="1"/>
        <rFont val="Tahoma"/>
        <family val="2"/>
      </rPr>
      <t> 08/01/2016</t>
    </r>
  </si>
  <si>
    <r>
      <t>Horário:</t>
    </r>
    <r>
      <rPr>
        <sz val="10"/>
        <color theme="1"/>
        <rFont val="Tahoma"/>
        <family val="2"/>
      </rPr>
      <t> 15:45:00</t>
    </r>
  </si>
  <si>
    <t>Extrato de 01/12/2015 até 08/01/2016</t>
  </si>
  <si>
    <t>Data</t>
  </si>
  <si>
    <t>Lançamento</t>
  </si>
  <si>
    <t>Ag./Origem</t>
  </si>
  <si>
    <t>Valor (R$)</t>
  </si>
  <si>
    <t>Saldo (R$)</t>
  </si>
  <si>
    <t>SALDO ANTERIOR</t>
  </si>
  <si>
    <t>TBI 0368.53580-3 C/C</t>
  </si>
  <si>
    <t> 4175</t>
  </si>
  <si>
    <t>D</t>
  </si>
  <si>
    <t>DOC INT 040668</t>
  </si>
  <si>
    <t>INT RESGATE PLUS CP</t>
  </si>
  <si>
    <t>TAR CONTA CERTA 11/15</t>
  </si>
  <si>
    <t> 368</t>
  </si>
  <si>
    <t>S A L D O</t>
  </si>
  <si>
    <t>TBI 0845.41739-3 C/C</t>
  </si>
  <si>
    <t>TBI 0140.16388-2 C/C</t>
  </si>
  <si>
    <t>TBI 3741.28015-4 C/C</t>
  </si>
  <si>
    <t>INT PAG TIT BANCO 237</t>
  </si>
  <si>
    <t>DOC INT 620792</t>
  </si>
  <si>
    <t>INT PAG TIT 109996626768</t>
  </si>
  <si>
    <t>TBI 7070.04749-8 C/C</t>
  </si>
  <si>
    <t>TBI 2958.14280-0 C/C</t>
  </si>
  <si>
    <t xml:space="preserve">   + Saldo fundo- vide anexo</t>
  </si>
  <si>
    <t>C.Q.D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</si>
</sst>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"/>
    <numFmt numFmtId="165" formatCode="#,##0.00;[Red]&quot;-&quot;\ #,##0.00"/>
    <numFmt numFmtId="166" formatCode="#,##0.00;[Red]#,##0.00"/>
  </numFmts>
  <fonts count="12" x14ac:knownFonts="1">
    <font>
      <sz val="10"/>
      <color theme="1"/>
      <name val="Tahoma"/>
      <family val="2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3E3E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C0C0C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1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/>
    <xf numFmtId="17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4" xfId="0" applyBorder="1"/>
    <xf numFmtId="17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2" fontId="2" fillId="0" borderId="3" xfId="0" applyNumberFormat="1" applyFont="1" applyBorder="1"/>
    <xf numFmtId="0" fontId="0" fillId="0" borderId="3" xfId="0" applyBorder="1"/>
    <xf numFmtId="2" fontId="0" fillId="0" borderId="3" xfId="0" applyNumberFormat="1" applyBorder="1"/>
    <xf numFmtId="0" fontId="3" fillId="0" borderId="3" xfId="0" applyFont="1" applyBorder="1"/>
    <xf numFmtId="2" fontId="0" fillId="0" borderId="3" xfId="0" applyNumberFormat="1" applyFill="1" applyBorder="1"/>
    <xf numFmtId="2" fontId="3" fillId="0" borderId="3" xfId="0" applyNumberFormat="1" applyFont="1" applyBorder="1"/>
    <xf numFmtId="2" fontId="3" fillId="0" borderId="3" xfId="0" applyNumberFormat="1" applyFont="1" applyFill="1" applyBorder="1"/>
    <xf numFmtId="2" fontId="2" fillId="0" borderId="3" xfId="0" applyNumberFormat="1" applyFont="1" applyFill="1" applyBorder="1"/>
    <xf numFmtId="2" fontId="2" fillId="0" borderId="2" xfId="0" applyNumberFormat="1" applyFont="1" applyBorder="1"/>
    <xf numFmtId="0" fontId="0" fillId="0" borderId="3" xfId="0" applyFill="1" applyBorder="1"/>
    <xf numFmtId="2" fontId="0" fillId="0" borderId="1" xfId="0" applyNumberFormat="1" applyBorder="1"/>
    <xf numFmtId="2" fontId="0" fillId="0" borderId="4" xfId="0" applyNumberFormat="1" applyBorder="1"/>
    <xf numFmtId="0" fontId="3" fillId="0" borderId="0" xfId="0" applyFon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64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/>
    </xf>
    <xf numFmtId="164" fontId="8" fillId="0" borderId="8" xfId="0" applyNumberFormat="1" applyFont="1" applyBorder="1" applyAlignment="1">
      <alignment horizontal="center"/>
    </xf>
    <xf numFmtId="4" fontId="8" fillId="0" borderId="8" xfId="0" applyNumberFormat="1" applyFont="1" applyBorder="1"/>
    <xf numFmtId="165" fontId="8" fillId="0" borderId="8" xfId="0" applyNumberFormat="1" applyFont="1" applyBorder="1" applyAlignment="1">
      <alignment horizontal="right"/>
    </xf>
    <xf numFmtId="165" fontId="8" fillId="3" borderId="8" xfId="0" applyNumberFormat="1" applyFont="1" applyFill="1" applyBorder="1" applyAlignment="1">
      <alignment horizontal="right"/>
    </xf>
    <xf numFmtId="164" fontId="9" fillId="4" borderId="8" xfId="0" applyNumberFormat="1" applyFont="1" applyFill="1" applyBorder="1" applyAlignment="1">
      <alignment horizontal="center"/>
    </xf>
    <xf numFmtId="4" fontId="9" fillId="4" borderId="8" xfId="0" applyNumberFormat="1" applyFont="1" applyFill="1" applyBorder="1"/>
    <xf numFmtId="165" fontId="10" fillId="4" borderId="8" xfId="0" applyNumberFormat="1" applyFont="1" applyFill="1" applyBorder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5" fontId="9" fillId="4" borderId="8" xfId="0" applyNumberFormat="1" applyFont="1" applyFill="1" applyBorder="1" applyAlignment="1">
      <alignment horizontal="right"/>
    </xf>
    <xf numFmtId="165" fontId="9" fillId="5" borderId="8" xfId="0" applyNumberFormat="1" applyFont="1" applyFill="1" applyBorder="1" applyAlignment="1">
      <alignment horizontal="right"/>
    </xf>
    <xf numFmtId="166" fontId="11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 u="sng"/>
              <a:t>Posição Financeira AFP:2015 R$ 000</a:t>
            </a:r>
          </a:p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 b="1" u="sng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792103527166053E-2"/>
          <c:y val="0.12876298394711994"/>
          <c:w val="0.9402079434198467"/>
          <c:h val="0.73079021949543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accent1"/>
                </a:solidFill>
              </a:ln>
              <a:effectLst/>
            </c:spPr>
          </c:dPt>
          <c:dLbls>
            <c:numFmt formatCode="#,##0.00_ ;[Red]\-#,##0.0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Posiçãofinanceira!$A$1:$A$13</c:f>
              <c:strCache>
                <c:ptCount val="13"/>
                <c:pt idx="0">
                  <c:v>Saldo 31/12/2014</c:v>
                </c:pt>
                <c:pt idx="1">
                  <c:v>Inscrições</c:v>
                </c:pt>
                <c:pt idx="2">
                  <c:v>Patrocínio</c:v>
                </c:pt>
                <c:pt idx="3">
                  <c:v>Rendimentos</c:v>
                </c:pt>
                <c:pt idx="4">
                  <c:v>Placas</c:v>
                </c:pt>
                <c:pt idx="5">
                  <c:v>Bolas</c:v>
                </c:pt>
                <c:pt idx="6">
                  <c:v>Outros</c:v>
                </c:pt>
                <c:pt idx="7">
                  <c:v>Uniforme</c:v>
                </c:pt>
                <c:pt idx="8">
                  <c:v>Ambulancia</c:v>
                </c:pt>
                <c:pt idx="9">
                  <c:v>Festas/premiação</c:v>
                </c:pt>
                <c:pt idx="10">
                  <c:v>Lanche</c:v>
                </c:pt>
                <c:pt idx="11">
                  <c:v>Arbitragem</c:v>
                </c:pt>
                <c:pt idx="12">
                  <c:v>Saldo 31/12/2015</c:v>
                </c:pt>
              </c:strCache>
            </c:strRef>
          </c:cat>
          <c:val>
            <c:numRef>
              <c:f>Posiçãofinanceira!$B$1:$B$13</c:f>
              <c:numCache>
                <c:formatCode>General</c:formatCode>
                <c:ptCount val="13"/>
                <c:pt idx="0">
                  <c:v>6.5</c:v>
                </c:pt>
                <c:pt idx="1">
                  <c:v>209.6</c:v>
                </c:pt>
                <c:pt idx="2">
                  <c:v>27.1</c:v>
                </c:pt>
                <c:pt idx="3">
                  <c:v>4.5999999999999996</c:v>
                </c:pt>
                <c:pt idx="4">
                  <c:v>-0.95</c:v>
                </c:pt>
                <c:pt idx="5">
                  <c:v>-1.3</c:v>
                </c:pt>
                <c:pt idx="6">
                  <c:v>-10.564</c:v>
                </c:pt>
                <c:pt idx="7">
                  <c:v>-21.1</c:v>
                </c:pt>
                <c:pt idx="8" formatCode="0.00">
                  <c:v>-23.635999999999999</c:v>
                </c:pt>
                <c:pt idx="9">
                  <c:v>-51.16</c:v>
                </c:pt>
                <c:pt idx="10" formatCode="0.00">
                  <c:v>-61.561</c:v>
                </c:pt>
                <c:pt idx="11">
                  <c:v>-75.5</c:v>
                </c:pt>
                <c:pt idx="12">
                  <c:v>2.0289999999999964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760832"/>
        <c:axId val="146762368"/>
      </c:barChart>
      <c:catAx>
        <c:axId val="14676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62368"/>
        <c:crosses val="autoZero"/>
        <c:auto val="1"/>
        <c:lblAlgn val="ctr"/>
        <c:lblOffset val="100"/>
        <c:noMultiLvlLbl val="0"/>
      </c:catAx>
      <c:valAx>
        <c:axId val="14676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6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s://bankline.itau.com.br/V1/EMP/IMG/HeaderExtratoExcel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571497</xdr:colOff>
      <xdr:row>0</xdr:row>
      <xdr:rowOff>85722</xdr:rowOff>
    </xdr:from>
    <xdr:to>
      <xdr:col>21</xdr:col>
      <xdr:colOff>333374</xdr:colOff>
      <xdr:row>30</xdr:row>
      <xdr:rowOff>152399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2466975</xdr:colOff>
      <xdr:row>4</xdr:row>
      <xdr:rowOff>180975</xdr:rowOff>
    </xdr:to>
    <xdr:pic>
      <xdr:nvPicPr>
        <xdr:cNvPr id="2" name="Picture 1" descr="https://bankline.itau.com.br/V1/EMP/IMG/HeaderExtratoExcel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52673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tabSelected="1" workbookViewId="0">
      <selection activeCell="AA23" sqref="AA23"/>
    </sheetView>
  </sheetViews>
  <sheetFormatPr defaultRowHeight="12.75" x14ac:dyDescent="0.2"/>
  <cols>
    <col min="1" max="1" width="18.28515625" bestFit="1" customWidth="1"/>
  </cols>
  <sheetData>
    <row r="1" spans="1:2" x14ac:dyDescent="0.2">
      <c r="A1" t="s">
        <v>61</v>
      </c>
      <c r="B1">
        <v>6.5</v>
      </c>
    </row>
    <row r="2" spans="1:2" x14ac:dyDescent="0.2">
      <c r="A2" t="s">
        <v>3</v>
      </c>
      <c r="B2">
        <v>209.6</v>
      </c>
    </row>
    <row r="3" spans="1:2" x14ac:dyDescent="0.2">
      <c r="A3" t="s">
        <v>7</v>
      </c>
      <c r="B3">
        <v>27.1</v>
      </c>
    </row>
    <row r="4" spans="1:2" x14ac:dyDescent="0.2">
      <c r="A4" t="s">
        <v>10</v>
      </c>
      <c r="B4">
        <v>4.5999999999999996</v>
      </c>
    </row>
    <row r="5" spans="1:2" x14ac:dyDescent="0.2">
      <c r="A5" t="s">
        <v>1</v>
      </c>
      <c r="B5">
        <v>-0.95</v>
      </c>
    </row>
    <row r="6" spans="1:2" x14ac:dyDescent="0.2">
      <c r="A6" t="s">
        <v>2</v>
      </c>
      <c r="B6">
        <v>-1.3</v>
      </c>
    </row>
    <row r="7" spans="1:2" x14ac:dyDescent="0.2">
      <c r="A7" t="s">
        <v>6</v>
      </c>
      <c r="B7">
        <f>-9.7-0.864</f>
        <v>-10.564</v>
      </c>
    </row>
    <row r="8" spans="1:2" x14ac:dyDescent="0.2">
      <c r="A8" t="s">
        <v>0</v>
      </c>
      <c r="B8">
        <v>-21.1</v>
      </c>
    </row>
    <row r="9" spans="1:2" x14ac:dyDescent="0.2">
      <c r="A9" t="s">
        <v>8</v>
      </c>
      <c r="B9" s="27">
        <v>-23.635999999999999</v>
      </c>
    </row>
    <row r="10" spans="1:2" x14ac:dyDescent="0.2">
      <c r="A10" t="s">
        <v>9</v>
      </c>
      <c r="B10">
        <v>-51.16</v>
      </c>
    </row>
    <row r="11" spans="1:2" x14ac:dyDescent="0.2">
      <c r="A11" t="s">
        <v>4</v>
      </c>
      <c r="B11" s="27">
        <v>-61.561</v>
      </c>
    </row>
    <row r="12" spans="1:2" x14ac:dyDescent="0.2">
      <c r="A12" t="s">
        <v>5</v>
      </c>
      <c r="B12">
        <v>-75.5</v>
      </c>
    </row>
    <row r="13" spans="1:2" x14ac:dyDescent="0.2">
      <c r="A13" t="s">
        <v>67</v>
      </c>
      <c r="B13" s="27">
        <f>SUM(B1:B12)</f>
        <v>2.0289999999999964</v>
      </c>
    </row>
  </sheetData>
  <sortState ref="A2:B12">
    <sortCondition descending="1" ref="B2:B12"/>
  </sortState>
  <pageMargins left="0.511811024" right="0.511811024" top="0.78740157499999996" bottom="0.78740157499999996" header="0.31496062000000002" footer="0.31496062000000002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12" zoomScale="80" zoomScaleNormal="80" workbookViewId="0">
      <selection activeCell="A6" sqref="A6"/>
    </sheetView>
  </sheetViews>
  <sheetFormatPr defaultRowHeight="12.75" x14ac:dyDescent="0.2"/>
  <cols>
    <col min="1" max="1" width="41.42578125" customWidth="1"/>
    <col min="2" max="6" width="10.7109375" customWidth="1"/>
    <col min="7" max="7" width="10.5703125" customWidth="1"/>
    <col min="8" max="8" width="11.5703125" customWidth="1"/>
    <col min="9" max="9" width="12.42578125" customWidth="1"/>
    <col min="10" max="10" width="10.28515625" customWidth="1"/>
    <col min="11" max="11" width="11" customWidth="1"/>
    <col min="13" max="13" width="12.5703125" customWidth="1"/>
    <col min="14" max="14" width="0.85546875" customWidth="1"/>
    <col min="15" max="15" width="18.5703125" customWidth="1"/>
    <col min="257" max="257" width="41.42578125" customWidth="1"/>
    <col min="258" max="262" width="10.7109375" customWidth="1"/>
    <col min="264" max="264" width="9.5703125" bestFit="1" customWidth="1"/>
    <col min="265" max="265" width="12.42578125" customWidth="1"/>
    <col min="266" max="266" width="10.28515625" customWidth="1"/>
    <col min="270" max="270" width="0.85546875" customWidth="1"/>
    <col min="271" max="271" width="9.7109375" customWidth="1"/>
    <col min="513" max="513" width="41.42578125" customWidth="1"/>
    <col min="514" max="518" width="10.7109375" customWidth="1"/>
    <col min="520" max="520" width="9.5703125" bestFit="1" customWidth="1"/>
    <col min="521" max="521" width="12.42578125" customWidth="1"/>
    <col min="522" max="522" width="10.28515625" customWidth="1"/>
    <col min="526" max="526" width="0.85546875" customWidth="1"/>
    <col min="527" max="527" width="9.7109375" customWidth="1"/>
    <col min="769" max="769" width="41.42578125" customWidth="1"/>
    <col min="770" max="774" width="10.7109375" customWidth="1"/>
    <col min="776" max="776" width="9.5703125" bestFit="1" customWidth="1"/>
    <col min="777" max="777" width="12.42578125" customWidth="1"/>
    <col min="778" max="778" width="10.28515625" customWidth="1"/>
    <col min="782" max="782" width="0.85546875" customWidth="1"/>
    <col min="783" max="783" width="9.7109375" customWidth="1"/>
    <col min="1025" max="1025" width="41.42578125" customWidth="1"/>
    <col min="1026" max="1030" width="10.7109375" customWidth="1"/>
    <col min="1032" max="1032" width="9.5703125" bestFit="1" customWidth="1"/>
    <col min="1033" max="1033" width="12.42578125" customWidth="1"/>
    <col min="1034" max="1034" width="10.28515625" customWidth="1"/>
    <col min="1038" max="1038" width="0.85546875" customWidth="1"/>
    <col min="1039" max="1039" width="9.7109375" customWidth="1"/>
    <col min="1281" max="1281" width="41.42578125" customWidth="1"/>
    <col min="1282" max="1286" width="10.7109375" customWidth="1"/>
    <col min="1288" max="1288" width="9.5703125" bestFit="1" customWidth="1"/>
    <col min="1289" max="1289" width="12.42578125" customWidth="1"/>
    <col min="1290" max="1290" width="10.28515625" customWidth="1"/>
    <col min="1294" max="1294" width="0.85546875" customWidth="1"/>
    <col min="1295" max="1295" width="9.7109375" customWidth="1"/>
    <col min="1537" max="1537" width="41.42578125" customWidth="1"/>
    <col min="1538" max="1542" width="10.7109375" customWidth="1"/>
    <col min="1544" max="1544" width="9.5703125" bestFit="1" customWidth="1"/>
    <col min="1545" max="1545" width="12.42578125" customWidth="1"/>
    <col min="1546" max="1546" width="10.28515625" customWidth="1"/>
    <col min="1550" max="1550" width="0.85546875" customWidth="1"/>
    <col min="1551" max="1551" width="9.7109375" customWidth="1"/>
    <col min="1793" max="1793" width="41.42578125" customWidth="1"/>
    <col min="1794" max="1798" width="10.7109375" customWidth="1"/>
    <col min="1800" max="1800" width="9.5703125" bestFit="1" customWidth="1"/>
    <col min="1801" max="1801" width="12.42578125" customWidth="1"/>
    <col min="1802" max="1802" width="10.28515625" customWidth="1"/>
    <col min="1806" max="1806" width="0.85546875" customWidth="1"/>
    <col min="1807" max="1807" width="9.7109375" customWidth="1"/>
    <col min="2049" max="2049" width="41.42578125" customWidth="1"/>
    <col min="2050" max="2054" width="10.7109375" customWidth="1"/>
    <col min="2056" max="2056" width="9.5703125" bestFit="1" customWidth="1"/>
    <col min="2057" max="2057" width="12.42578125" customWidth="1"/>
    <col min="2058" max="2058" width="10.28515625" customWidth="1"/>
    <col min="2062" max="2062" width="0.85546875" customWidth="1"/>
    <col min="2063" max="2063" width="9.7109375" customWidth="1"/>
    <col min="2305" max="2305" width="41.42578125" customWidth="1"/>
    <col min="2306" max="2310" width="10.7109375" customWidth="1"/>
    <col min="2312" max="2312" width="9.5703125" bestFit="1" customWidth="1"/>
    <col min="2313" max="2313" width="12.42578125" customWidth="1"/>
    <col min="2314" max="2314" width="10.28515625" customWidth="1"/>
    <col min="2318" max="2318" width="0.85546875" customWidth="1"/>
    <col min="2319" max="2319" width="9.7109375" customWidth="1"/>
    <col min="2561" max="2561" width="41.42578125" customWidth="1"/>
    <col min="2562" max="2566" width="10.7109375" customWidth="1"/>
    <col min="2568" max="2568" width="9.5703125" bestFit="1" customWidth="1"/>
    <col min="2569" max="2569" width="12.42578125" customWidth="1"/>
    <col min="2570" max="2570" width="10.28515625" customWidth="1"/>
    <col min="2574" max="2574" width="0.85546875" customWidth="1"/>
    <col min="2575" max="2575" width="9.7109375" customWidth="1"/>
    <col min="2817" max="2817" width="41.42578125" customWidth="1"/>
    <col min="2818" max="2822" width="10.7109375" customWidth="1"/>
    <col min="2824" max="2824" width="9.5703125" bestFit="1" customWidth="1"/>
    <col min="2825" max="2825" width="12.42578125" customWidth="1"/>
    <col min="2826" max="2826" width="10.28515625" customWidth="1"/>
    <col min="2830" max="2830" width="0.85546875" customWidth="1"/>
    <col min="2831" max="2831" width="9.7109375" customWidth="1"/>
    <col min="3073" max="3073" width="41.42578125" customWidth="1"/>
    <col min="3074" max="3078" width="10.7109375" customWidth="1"/>
    <col min="3080" max="3080" width="9.5703125" bestFit="1" customWidth="1"/>
    <col min="3081" max="3081" width="12.42578125" customWidth="1"/>
    <col min="3082" max="3082" width="10.28515625" customWidth="1"/>
    <col min="3086" max="3086" width="0.85546875" customWidth="1"/>
    <col min="3087" max="3087" width="9.7109375" customWidth="1"/>
    <col min="3329" max="3329" width="41.42578125" customWidth="1"/>
    <col min="3330" max="3334" width="10.7109375" customWidth="1"/>
    <col min="3336" max="3336" width="9.5703125" bestFit="1" customWidth="1"/>
    <col min="3337" max="3337" width="12.42578125" customWidth="1"/>
    <col min="3338" max="3338" width="10.28515625" customWidth="1"/>
    <col min="3342" max="3342" width="0.85546875" customWidth="1"/>
    <col min="3343" max="3343" width="9.7109375" customWidth="1"/>
    <col min="3585" max="3585" width="41.42578125" customWidth="1"/>
    <col min="3586" max="3590" width="10.7109375" customWidth="1"/>
    <col min="3592" max="3592" width="9.5703125" bestFit="1" customWidth="1"/>
    <col min="3593" max="3593" width="12.42578125" customWidth="1"/>
    <col min="3594" max="3594" width="10.28515625" customWidth="1"/>
    <col min="3598" max="3598" width="0.85546875" customWidth="1"/>
    <col min="3599" max="3599" width="9.7109375" customWidth="1"/>
    <col min="3841" max="3841" width="41.42578125" customWidth="1"/>
    <col min="3842" max="3846" width="10.7109375" customWidth="1"/>
    <col min="3848" max="3848" width="9.5703125" bestFit="1" customWidth="1"/>
    <col min="3849" max="3849" width="12.42578125" customWidth="1"/>
    <col min="3850" max="3850" width="10.28515625" customWidth="1"/>
    <col min="3854" max="3854" width="0.85546875" customWidth="1"/>
    <col min="3855" max="3855" width="9.7109375" customWidth="1"/>
    <col min="4097" max="4097" width="41.42578125" customWidth="1"/>
    <col min="4098" max="4102" width="10.7109375" customWidth="1"/>
    <col min="4104" max="4104" width="9.5703125" bestFit="1" customWidth="1"/>
    <col min="4105" max="4105" width="12.42578125" customWidth="1"/>
    <col min="4106" max="4106" width="10.28515625" customWidth="1"/>
    <col min="4110" max="4110" width="0.85546875" customWidth="1"/>
    <col min="4111" max="4111" width="9.7109375" customWidth="1"/>
    <col min="4353" max="4353" width="41.42578125" customWidth="1"/>
    <col min="4354" max="4358" width="10.7109375" customWidth="1"/>
    <col min="4360" max="4360" width="9.5703125" bestFit="1" customWidth="1"/>
    <col min="4361" max="4361" width="12.42578125" customWidth="1"/>
    <col min="4362" max="4362" width="10.28515625" customWidth="1"/>
    <col min="4366" max="4366" width="0.85546875" customWidth="1"/>
    <col min="4367" max="4367" width="9.7109375" customWidth="1"/>
    <col min="4609" max="4609" width="41.42578125" customWidth="1"/>
    <col min="4610" max="4614" width="10.7109375" customWidth="1"/>
    <col min="4616" max="4616" width="9.5703125" bestFit="1" customWidth="1"/>
    <col min="4617" max="4617" width="12.42578125" customWidth="1"/>
    <col min="4618" max="4618" width="10.28515625" customWidth="1"/>
    <col min="4622" max="4622" width="0.85546875" customWidth="1"/>
    <col min="4623" max="4623" width="9.7109375" customWidth="1"/>
    <col min="4865" max="4865" width="41.42578125" customWidth="1"/>
    <col min="4866" max="4870" width="10.7109375" customWidth="1"/>
    <col min="4872" max="4872" width="9.5703125" bestFit="1" customWidth="1"/>
    <col min="4873" max="4873" width="12.42578125" customWidth="1"/>
    <col min="4874" max="4874" width="10.28515625" customWidth="1"/>
    <col min="4878" max="4878" width="0.85546875" customWidth="1"/>
    <col min="4879" max="4879" width="9.7109375" customWidth="1"/>
    <col min="5121" max="5121" width="41.42578125" customWidth="1"/>
    <col min="5122" max="5126" width="10.7109375" customWidth="1"/>
    <col min="5128" max="5128" width="9.5703125" bestFit="1" customWidth="1"/>
    <col min="5129" max="5129" width="12.42578125" customWidth="1"/>
    <col min="5130" max="5130" width="10.28515625" customWidth="1"/>
    <col min="5134" max="5134" width="0.85546875" customWidth="1"/>
    <col min="5135" max="5135" width="9.7109375" customWidth="1"/>
    <col min="5377" max="5377" width="41.42578125" customWidth="1"/>
    <col min="5378" max="5382" width="10.7109375" customWidth="1"/>
    <col min="5384" max="5384" width="9.5703125" bestFit="1" customWidth="1"/>
    <col min="5385" max="5385" width="12.42578125" customWidth="1"/>
    <col min="5386" max="5386" width="10.28515625" customWidth="1"/>
    <col min="5390" max="5390" width="0.85546875" customWidth="1"/>
    <col min="5391" max="5391" width="9.7109375" customWidth="1"/>
    <col min="5633" max="5633" width="41.42578125" customWidth="1"/>
    <col min="5634" max="5638" width="10.7109375" customWidth="1"/>
    <col min="5640" max="5640" width="9.5703125" bestFit="1" customWidth="1"/>
    <col min="5641" max="5641" width="12.42578125" customWidth="1"/>
    <col min="5642" max="5642" width="10.28515625" customWidth="1"/>
    <col min="5646" max="5646" width="0.85546875" customWidth="1"/>
    <col min="5647" max="5647" width="9.7109375" customWidth="1"/>
    <col min="5889" max="5889" width="41.42578125" customWidth="1"/>
    <col min="5890" max="5894" width="10.7109375" customWidth="1"/>
    <col min="5896" max="5896" width="9.5703125" bestFit="1" customWidth="1"/>
    <col min="5897" max="5897" width="12.42578125" customWidth="1"/>
    <col min="5898" max="5898" width="10.28515625" customWidth="1"/>
    <col min="5902" max="5902" width="0.85546875" customWidth="1"/>
    <col min="5903" max="5903" width="9.7109375" customWidth="1"/>
    <col min="6145" max="6145" width="41.42578125" customWidth="1"/>
    <col min="6146" max="6150" width="10.7109375" customWidth="1"/>
    <col min="6152" max="6152" width="9.5703125" bestFit="1" customWidth="1"/>
    <col min="6153" max="6153" width="12.42578125" customWidth="1"/>
    <col min="6154" max="6154" width="10.28515625" customWidth="1"/>
    <col min="6158" max="6158" width="0.85546875" customWidth="1"/>
    <col min="6159" max="6159" width="9.7109375" customWidth="1"/>
    <col min="6401" max="6401" width="41.42578125" customWidth="1"/>
    <col min="6402" max="6406" width="10.7109375" customWidth="1"/>
    <col min="6408" max="6408" width="9.5703125" bestFit="1" customWidth="1"/>
    <col min="6409" max="6409" width="12.42578125" customWidth="1"/>
    <col min="6410" max="6410" width="10.28515625" customWidth="1"/>
    <col min="6414" max="6414" width="0.85546875" customWidth="1"/>
    <col min="6415" max="6415" width="9.7109375" customWidth="1"/>
    <col min="6657" max="6657" width="41.42578125" customWidth="1"/>
    <col min="6658" max="6662" width="10.7109375" customWidth="1"/>
    <col min="6664" max="6664" width="9.5703125" bestFit="1" customWidth="1"/>
    <col min="6665" max="6665" width="12.42578125" customWidth="1"/>
    <col min="6666" max="6666" width="10.28515625" customWidth="1"/>
    <col min="6670" max="6670" width="0.85546875" customWidth="1"/>
    <col min="6671" max="6671" width="9.7109375" customWidth="1"/>
    <col min="6913" max="6913" width="41.42578125" customWidth="1"/>
    <col min="6914" max="6918" width="10.7109375" customWidth="1"/>
    <col min="6920" max="6920" width="9.5703125" bestFit="1" customWidth="1"/>
    <col min="6921" max="6921" width="12.42578125" customWidth="1"/>
    <col min="6922" max="6922" width="10.28515625" customWidth="1"/>
    <col min="6926" max="6926" width="0.85546875" customWidth="1"/>
    <col min="6927" max="6927" width="9.7109375" customWidth="1"/>
    <col min="7169" max="7169" width="41.42578125" customWidth="1"/>
    <col min="7170" max="7174" width="10.7109375" customWidth="1"/>
    <col min="7176" max="7176" width="9.5703125" bestFit="1" customWidth="1"/>
    <col min="7177" max="7177" width="12.42578125" customWidth="1"/>
    <col min="7178" max="7178" width="10.28515625" customWidth="1"/>
    <col min="7182" max="7182" width="0.85546875" customWidth="1"/>
    <col min="7183" max="7183" width="9.7109375" customWidth="1"/>
    <col min="7425" max="7425" width="41.42578125" customWidth="1"/>
    <col min="7426" max="7430" width="10.7109375" customWidth="1"/>
    <col min="7432" max="7432" width="9.5703125" bestFit="1" customWidth="1"/>
    <col min="7433" max="7433" width="12.42578125" customWidth="1"/>
    <col min="7434" max="7434" width="10.28515625" customWidth="1"/>
    <col min="7438" max="7438" width="0.85546875" customWidth="1"/>
    <col min="7439" max="7439" width="9.7109375" customWidth="1"/>
    <col min="7681" max="7681" width="41.42578125" customWidth="1"/>
    <col min="7682" max="7686" width="10.7109375" customWidth="1"/>
    <col min="7688" max="7688" width="9.5703125" bestFit="1" customWidth="1"/>
    <col min="7689" max="7689" width="12.42578125" customWidth="1"/>
    <col min="7690" max="7690" width="10.28515625" customWidth="1"/>
    <col min="7694" max="7694" width="0.85546875" customWidth="1"/>
    <col min="7695" max="7695" width="9.7109375" customWidth="1"/>
    <col min="7937" max="7937" width="41.42578125" customWidth="1"/>
    <col min="7938" max="7942" width="10.7109375" customWidth="1"/>
    <col min="7944" max="7944" width="9.5703125" bestFit="1" customWidth="1"/>
    <col min="7945" max="7945" width="12.42578125" customWidth="1"/>
    <col min="7946" max="7946" width="10.28515625" customWidth="1"/>
    <col min="7950" max="7950" width="0.85546875" customWidth="1"/>
    <col min="7951" max="7951" width="9.7109375" customWidth="1"/>
    <col min="8193" max="8193" width="41.42578125" customWidth="1"/>
    <col min="8194" max="8198" width="10.7109375" customWidth="1"/>
    <col min="8200" max="8200" width="9.5703125" bestFit="1" customWidth="1"/>
    <col min="8201" max="8201" width="12.42578125" customWidth="1"/>
    <col min="8202" max="8202" width="10.28515625" customWidth="1"/>
    <col min="8206" max="8206" width="0.85546875" customWidth="1"/>
    <col min="8207" max="8207" width="9.7109375" customWidth="1"/>
    <col min="8449" max="8449" width="41.42578125" customWidth="1"/>
    <col min="8450" max="8454" width="10.7109375" customWidth="1"/>
    <col min="8456" max="8456" width="9.5703125" bestFit="1" customWidth="1"/>
    <col min="8457" max="8457" width="12.42578125" customWidth="1"/>
    <col min="8458" max="8458" width="10.28515625" customWidth="1"/>
    <col min="8462" max="8462" width="0.85546875" customWidth="1"/>
    <col min="8463" max="8463" width="9.7109375" customWidth="1"/>
    <col min="8705" max="8705" width="41.42578125" customWidth="1"/>
    <col min="8706" max="8710" width="10.7109375" customWidth="1"/>
    <col min="8712" max="8712" width="9.5703125" bestFit="1" customWidth="1"/>
    <col min="8713" max="8713" width="12.42578125" customWidth="1"/>
    <col min="8714" max="8714" width="10.28515625" customWidth="1"/>
    <col min="8718" max="8718" width="0.85546875" customWidth="1"/>
    <col min="8719" max="8719" width="9.7109375" customWidth="1"/>
    <col min="8961" max="8961" width="41.42578125" customWidth="1"/>
    <col min="8962" max="8966" width="10.7109375" customWidth="1"/>
    <col min="8968" max="8968" width="9.5703125" bestFit="1" customWidth="1"/>
    <col min="8969" max="8969" width="12.42578125" customWidth="1"/>
    <col min="8970" max="8970" width="10.28515625" customWidth="1"/>
    <col min="8974" max="8974" width="0.85546875" customWidth="1"/>
    <col min="8975" max="8975" width="9.7109375" customWidth="1"/>
    <col min="9217" max="9217" width="41.42578125" customWidth="1"/>
    <col min="9218" max="9222" width="10.7109375" customWidth="1"/>
    <col min="9224" max="9224" width="9.5703125" bestFit="1" customWidth="1"/>
    <col min="9225" max="9225" width="12.42578125" customWidth="1"/>
    <col min="9226" max="9226" width="10.28515625" customWidth="1"/>
    <col min="9230" max="9230" width="0.85546875" customWidth="1"/>
    <col min="9231" max="9231" width="9.7109375" customWidth="1"/>
    <col min="9473" max="9473" width="41.42578125" customWidth="1"/>
    <col min="9474" max="9478" width="10.7109375" customWidth="1"/>
    <col min="9480" max="9480" width="9.5703125" bestFit="1" customWidth="1"/>
    <col min="9481" max="9481" width="12.42578125" customWidth="1"/>
    <col min="9482" max="9482" width="10.28515625" customWidth="1"/>
    <col min="9486" max="9486" width="0.85546875" customWidth="1"/>
    <col min="9487" max="9487" width="9.7109375" customWidth="1"/>
    <col min="9729" max="9729" width="41.42578125" customWidth="1"/>
    <col min="9730" max="9734" width="10.7109375" customWidth="1"/>
    <col min="9736" max="9736" width="9.5703125" bestFit="1" customWidth="1"/>
    <col min="9737" max="9737" width="12.42578125" customWidth="1"/>
    <col min="9738" max="9738" width="10.28515625" customWidth="1"/>
    <col min="9742" max="9742" width="0.85546875" customWidth="1"/>
    <col min="9743" max="9743" width="9.7109375" customWidth="1"/>
    <col min="9985" max="9985" width="41.42578125" customWidth="1"/>
    <col min="9986" max="9990" width="10.7109375" customWidth="1"/>
    <col min="9992" max="9992" width="9.5703125" bestFit="1" customWidth="1"/>
    <col min="9993" max="9993" width="12.42578125" customWidth="1"/>
    <col min="9994" max="9994" width="10.28515625" customWidth="1"/>
    <col min="9998" max="9998" width="0.85546875" customWidth="1"/>
    <col min="9999" max="9999" width="9.7109375" customWidth="1"/>
    <col min="10241" max="10241" width="41.42578125" customWidth="1"/>
    <col min="10242" max="10246" width="10.7109375" customWidth="1"/>
    <col min="10248" max="10248" width="9.5703125" bestFit="1" customWidth="1"/>
    <col min="10249" max="10249" width="12.42578125" customWidth="1"/>
    <col min="10250" max="10250" width="10.28515625" customWidth="1"/>
    <col min="10254" max="10254" width="0.85546875" customWidth="1"/>
    <col min="10255" max="10255" width="9.7109375" customWidth="1"/>
    <col min="10497" max="10497" width="41.42578125" customWidth="1"/>
    <col min="10498" max="10502" width="10.7109375" customWidth="1"/>
    <col min="10504" max="10504" width="9.5703125" bestFit="1" customWidth="1"/>
    <col min="10505" max="10505" width="12.42578125" customWidth="1"/>
    <col min="10506" max="10506" width="10.28515625" customWidth="1"/>
    <col min="10510" max="10510" width="0.85546875" customWidth="1"/>
    <col min="10511" max="10511" width="9.7109375" customWidth="1"/>
    <col min="10753" max="10753" width="41.42578125" customWidth="1"/>
    <col min="10754" max="10758" width="10.7109375" customWidth="1"/>
    <col min="10760" max="10760" width="9.5703125" bestFit="1" customWidth="1"/>
    <col min="10761" max="10761" width="12.42578125" customWidth="1"/>
    <col min="10762" max="10762" width="10.28515625" customWidth="1"/>
    <col min="10766" max="10766" width="0.85546875" customWidth="1"/>
    <col min="10767" max="10767" width="9.7109375" customWidth="1"/>
    <col min="11009" max="11009" width="41.42578125" customWidth="1"/>
    <col min="11010" max="11014" width="10.7109375" customWidth="1"/>
    <col min="11016" max="11016" width="9.5703125" bestFit="1" customWidth="1"/>
    <col min="11017" max="11017" width="12.42578125" customWidth="1"/>
    <col min="11018" max="11018" width="10.28515625" customWidth="1"/>
    <col min="11022" max="11022" width="0.85546875" customWidth="1"/>
    <col min="11023" max="11023" width="9.7109375" customWidth="1"/>
    <col min="11265" max="11265" width="41.42578125" customWidth="1"/>
    <col min="11266" max="11270" width="10.7109375" customWidth="1"/>
    <col min="11272" max="11272" width="9.5703125" bestFit="1" customWidth="1"/>
    <col min="11273" max="11273" width="12.42578125" customWidth="1"/>
    <col min="11274" max="11274" width="10.28515625" customWidth="1"/>
    <col min="11278" max="11278" width="0.85546875" customWidth="1"/>
    <col min="11279" max="11279" width="9.7109375" customWidth="1"/>
    <col min="11521" max="11521" width="41.42578125" customWidth="1"/>
    <col min="11522" max="11526" width="10.7109375" customWidth="1"/>
    <col min="11528" max="11528" width="9.5703125" bestFit="1" customWidth="1"/>
    <col min="11529" max="11529" width="12.42578125" customWidth="1"/>
    <col min="11530" max="11530" width="10.28515625" customWidth="1"/>
    <col min="11534" max="11534" width="0.85546875" customWidth="1"/>
    <col min="11535" max="11535" width="9.7109375" customWidth="1"/>
    <col min="11777" max="11777" width="41.42578125" customWidth="1"/>
    <col min="11778" max="11782" width="10.7109375" customWidth="1"/>
    <col min="11784" max="11784" width="9.5703125" bestFit="1" customWidth="1"/>
    <col min="11785" max="11785" width="12.42578125" customWidth="1"/>
    <col min="11786" max="11786" width="10.28515625" customWidth="1"/>
    <col min="11790" max="11790" width="0.85546875" customWidth="1"/>
    <col min="11791" max="11791" width="9.7109375" customWidth="1"/>
    <col min="12033" max="12033" width="41.42578125" customWidth="1"/>
    <col min="12034" max="12038" width="10.7109375" customWidth="1"/>
    <col min="12040" max="12040" width="9.5703125" bestFit="1" customWidth="1"/>
    <col min="12041" max="12041" width="12.42578125" customWidth="1"/>
    <col min="12042" max="12042" width="10.28515625" customWidth="1"/>
    <col min="12046" max="12046" width="0.85546875" customWidth="1"/>
    <col min="12047" max="12047" width="9.7109375" customWidth="1"/>
    <col min="12289" max="12289" width="41.42578125" customWidth="1"/>
    <col min="12290" max="12294" width="10.7109375" customWidth="1"/>
    <col min="12296" max="12296" width="9.5703125" bestFit="1" customWidth="1"/>
    <col min="12297" max="12297" width="12.42578125" customWidth="1"/>
    <col min="12298" max="12298" width="10.28515625" customWidth="1"/>
    <col min="12302" max="12302" width="0.85546875" customWidth="1"/>
    <col min="12303" max="12303" width="9.7109375" customWidth="1"/>
    <col min="12545" max="12545" width="41.42578125" customWidth="1"/>
    <col min="12546" max="12550" width="10.7109375" customWidth="1"/>
    <col min="12552" max="12552" width="9.5703125" bestFit="1" customWidth="1"/>
    <col min="12553" max="12553" width="12.42578125" customWidth="1"/>
    <col min="12554" max="12554" width="10.28515625" customWidth="1"/>
    <col min="12558" max="12558" width="0.85546875" customWidth="1"/>
    <col min="12559" max="12559" width="9.7109375" customWidth="1"/>
    <col min="12801" max="12801" width="41.42578125" customWidth="1"/>
    <col min="12802" max="12806" width="10.7109375" customWidth="1"/>
    <col min="12808" max="12808" width="9.5703125" bestFit="1" customWidth="1"/>
    <col min="12809" max="12809" width="12.42578125" customWidth="1"/>
    <col min="12810" max="12810" width="10.28515625" customWidth="1"/>
    <col min="12814" max="12814" width="0.85546875" customWidth="1"/>
    <col min="12815" max="12815" width="9.7109375" customWidth="1"/>
    <col min="13057" max="13057" width="41.42578125" customWidth="1"/>
    <col min="13058" max="13062" width="10.7109375" customWidth="1"/>
    <col min="13064" max="13064" width="9.5703125" bestFit="1" customWidth="1"/>
    <col min="13065" max="13065" width="12.42578125" customWidth="1"/>
    <col min="13066" max="13066" width="10.28515625" customWidth="1"/>
    <col min="13070" max="13070" width="0.85546875" customWidth="1"/>
    <col min="13071" max="13071" width="9.7109375" customWidth="1"/>
    <col min="13313" max="13313" width="41.42578125" customWidth="1"/>
    <col min="13314" max="13318" width="10.7109375" customWidth="1"/>
    <col min="13320" max="13320" width="9.5703125" bestFit="1" customWidth="1"/>
    <col min="13321" max="13321" width="12.42578125" customWidth="1"/>
    <col min="13322" max="13322" width="10.28515625" customWidth="1"/>
    <col min="13326" max="13326" width="0.85546875" customWidth="1"/>
    <col min="13327" max="13327" width="9.7109375" customWidth="1"/>
    <col min="13569" max="13569" width="41.42578125" customWidth="1"/>
    <col min="13570" max="13574" width="10.7109375" customWidth="1"/>
    <col min="13576" max="13576" width="9.5703125" bestFit="1" customWidth="1"/>
    <col min="13577" max="13577" width="12.42578125" customWidth="1"/>
    <col min="13578" max="13578" width="10.28515625" customWidth="1"/>
    <col min="13582" max="13582" width="0.85546875" customWidth="1"/>
    <col min="13583" max="13583" width="9.7109375" customWidth="1"/>
    <col min="13825" max="13825" width="41.42578125" customWidth="1"/>
    <col min="13826" max="13830" width="10.7109375" customWidth="1"/>
    <col min="13832" max="13832" width="9.5703125" bestFit="1" customWidth="1"/>
    <col min="13833" max="13833" width="12.42578125" customWidth="1"/>
    <col min="13834" max="13834" width="10.28515625" customWidth="1"/>
    <col min="13838" max="13838" width="0.85546875" customWidth="1"/>
    <col min="13839" max="13839" width="9.7109375" customWidth="1"/>
    <col min="14081" max="14081" width="41.42578125" customWidth="1"/>
    <col min="14082" max="14086" width="10.7109375" customWidth="1"/>
    <col min="14088" max="14088" width="9.5703125" bestFit="1" customWidth="1"/>
    <col min="14089" max="14089" width="12.42578125" customWidth="1"/>
    <col min="14090" max="14090" width="10.28515625" customWidth="1"/>
    <col min="14094" max="14094" width="0.85546875" customWidth="1"/>
    <col min="14095" max="14095" width="9.7109375" customWidth="1"/>
    <col min="14337" max="14337" width="41.42578125" customWidth="1"/>
    <col min="14338" max="14342" width="10.7109375" customWidth="1"/>
    <col min="14344" max="14344" width="9.5703125" bestFit="1" customWidth="1"/>
    <col min="14345" max="14345" width="12.42578125" customWidth="1"/>
    <col min="14346" max="14346" width="10.28515625" customWidth="1"/>
    <col min="14350" max="14350" width="0.85546875" customWidth="1"/>
    <col min="14351" max="14351" width="9.7109375" customWidth="1"/>
    <col min="14593" max="14593" width="41.42578125" customWidth="1"/>
    <col min="14594" max="14598" width="10.7109375" customWidth="1"/>
    <col min="14600" max="14600" width="9.5703125" bestFit="1" customWidth="1"/>
    <col min="14601" max="14601" width="12.42578125" customWidth="1"/>
    <col min="14602" max="14602" width="10.28515625" customWidth="1"/>
    <col min="14606" max="14606" width="0.85546875" customWidth="1"/>
    <col min="14607" max="14607" width="9.7109375" customWidth="1"/>
    <col min="14849" max="14849" width="41.42578125" customWidth="1"/>
    <col min="14850" max="14854" width="10.7109375" customWidth="1"/>
    <col min="14856" max="14856" width="9.5703125" bestFit="1" customWidth="1"/>
    <col min="14857" max="14857" width="12.42578125" customWidth="1"/>
    <col min="14858" max="14858" width="10.28515625" customWidth="1"/>
    <col min="14862" max="14862" width="0.85546875" customWidth="1"/>
    <col min="14863" max="14863" width="9.7109375" customWidth="1"/>
    <col min="15105" max="15105" width="41.42578125" customWidth="1"/>
    <col min="15106" max="15110" width="10.7109375" customWidth="1"/>
    <col min="15112" max="15112" width="9.5703125" bestFit="1" customWidth="1"/>
    <col min="15113" max="15113" width="12.42578125" customWidth="1"/>
    <col min="15114" max="15114" width="10.28515625" customWidth="1"/>
    <col min="15118" max="15118" width="0.85546875" customWidth="1"/>
    <col min="15119" max="15119" width="9.7109375" customWidth="1"/>
    <col min="15361" max="15361" width="41.42578125" customWidth="1"/>
    <col min="15362" max="15366" width="10.7109375" customWidth="1"/>
    <col min="15368" max="15368" width="9.5703125" bestFit="1" customWidth="1"/>
    <col min="15369" max="15369" width="12.42578125" customWidth="1"/>
    <col min="15370" max="15370" width="10.28515625" customWidth="1"/>
    <col min="15374" max="15374" width="0.85546875" customWidth="1"/>
    <col min="15375" max="15375" width="9.7109375" customWidth="1"/>
    <col min="15617" max="15617" width="41.42578125" customWidth="1"/>
    <col min="15618" max="15622" width="10.7109375" customWidth="1"/>
    <col min="15624" max="15624" width="9.5703125" bestFit="1" customWidth="1"/>
    <col min="15625" max="15625" width="12.42578125" customWidth="1"/>
    <col min="15626" max="15626" width="10.28515625" customWidth="1"/>
    <col min="15630" max="15630" width="0.85546875" customWidth="1"/>
    <col min="15631" max="15631" width="9.7109375" customWidth="1"/>
    <col min="15873" max="15873" width="41.42578125" customWidth="1"/>
    <col min="15874" max="15878" width="10.7109375" customWidth="1"/>
    <col min="15880" max="15880" width="9.5703125" bestFit="1" customWidth="1"/>
    <col min="15881" max="15881" width="12.42578125" customWidth="1"/>
    <col min="15882" max="15882" width="10.28515625" customWidth="1"/>
    <col min="15886" max="15886" width="0.85546875" customWidth="1"/>
    <col min="15887" max="15887" width="9.7109375" customWidth="1"/>
    <col min="16129" max="16129" width="41.42578125" customWidth="1"/>
    <col min="16130" max="16134" width="10.7109375" customWidth="1"/>
    <col min="16136" max="16136" width="9.5703125" bestFit="1" customWidth="1"/>
    <col min="16137" max="16137" width="12.42578125" customWidth="1"/>
    <col min="16138" max="16138" width="10.28515625" customWidth="1"/>
    <col min="16142" max="16142" width="0.85546875" customWidth="1"/>
    <col min="16143" max="16143" width="9.7109375" customWidth="1"/>
  </cols>
  <sheetData>
    <row r="1" spans="1:15" ht="23.25" x14ac:dyDescent="0.3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5" x14ac:dyDescent="0.2">
      <c r="A2" s="4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 t="s">
        <v>20</v>
      </c>
      <c r="K2" s="6" t="s">
        <v>21</v>
      </c>
      <c r="L2" s="6" t="s">
        <v>22</v>
      </c>
      <c r="M2" s="6" t="s">
        <v>23</v>
      </c>
      <c r="N2" s="3"/>
      <c r="O2" s="7" t="s">
        <v>24</v>
      </c>
    </row>
    <row r="3" spans="1:15" x14ac:dyDescent="0.2">
      <c r="A3" s="8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3"/>
      <c r="O3" s="11"/>
    </row>
    <row r="4" spans="1:15" x14ac:dyDescent="0.2">
      <c r="A4" s="4"/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3"/>
      <c r="O4" s="2"/>
    </row>
    <row r="5" spans="1:15" x14ac:dyDescent="0.2">
      <c r="A5" s="4" t="s">
        <v>66</v>
      </c>
      <c r="B5" s="14">
        <v>899.56</v>
      </c>
      <c r="C5" s="14">
        <f t="shared" ref="C5:M5" si="0">B48</f>
        <v>1585.3300000000008</v>
      </c>
      <c r="D5" s="14">
        <f t="shared" si="0"/>
        <v>1544.2700000000004</v>
      </c>
      <c r="E5" s="14">
        <f t="shared" si="0"/>
        <v>1999.4900000000089</v>
      </c>
      <c r="F5" s="14">
        <f t="shared" si="0"/>
        <v>24189.580000000016</v>
      </c>
      <c r="G5" s="14">
        <f t="shared" si="0"/>
        <v>3925.5800000000127</v>
      </c>
      <c r="H5" s="14">
        <f t="shared" si="0"/>
        <v>3301.7400000000143</v>
      </c>
      <c r="I5" s="14">
        <f t="shared" si="0"/>
        <v>4990.0900000000147</v>
      </c>
      <c r="J5" s="14">
        <f t="shared" si="0"/>
        <v>362.00000000001455</v>
      </c>
      <c r="K5" s="14">
        <f t="shared" si="0"/>
        <v>1999.4900000000125</v>
      </c>
      <c r="L5" s="14">
        <f t="shared" si="0"/>
        <v>357.75000000001455</v>
      </c>
      <c r="M5" s="14">
        <f t="shared" si="0"/>
        <v>455.75000000001455</v>
      </c>
      <c r="N5" s="3"/>
      <c r="O5" s="14">
        <f>B5</f>
        <v>899.56</v>
      </c>
    </row>
    <row r="6" spans="1:15" x14ac:dyDescent="0.2">
      <c r="A6" s="15"/>
      <c r="B6" s="16"/>
      <c r="C6" s="16"/>
      <c r="D6" s="16"/>
      <c r="E6" s="16"/>
      <c r="F6" s="16"/>
      <c r="G6" s="15"/>
      <c r="H6" s="16"/>
      <c r="I6" s="16"/>
      <c r="J6" s="16"/>
      <c r="K6" s="15"/>
      <c r="L6" s="16"/>
      <c r="M6" s="16"/>
      <c r="N6" s="3"/>
      <c r="O6" s="15"/>
    </row>
    <row r="7" spans="1:15" x14ac:dyDescent="0.2">
      <c r="A7" s="17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"/>
      <c r="O7" s="16">
        <f>SUM(B7:M7)</f>
        <v>0</v>
      </c>
    </row>
    <row r="8" spans="1:15" x14ac:dyDescent="0.2">
      <c r="A8" s="17" t="s">
        <v>58</v>
      </c>
      <c r="B8" s="16">
        <f>833.43+833.33+835</f>
        <v>2501.7600000000002</v>
      </c>
      <c r="C8" s="16">
        <f>833.43+291+833.33+840.01+834</f>
        <v>3631.7699999999995</v>
      </c>
      <c r="D8" s="16">
        <v>45108.160000000003</v>
      </c>
      <c r="E8" s="16">
        <v>89456.53</v>
      </c>
      <c r="F8" s="16">
        <v>14730.59</v>
      </c>
      <c r="G8" s="16">
        <v>30264.28</v>
      </c>
      <c r="H8" s="16">
        <v>15443.26</v>
      </c>
      <c r="I8" s="16">
        <v>6434.85</v>
      </c>
      <c r="J8" s="16">
        <f>2178.47-357.96</f>
        <v>1820.5099999999998</v>
      </c>
      <c r="K8" s="18">
        <v>200</v>
      </c>
      <c r="L8" s="16"/>
      <c r="M8" s="18"/>
      <c r="N8" s="3"/>
      <c r="O8" s="16">
        <f>SUM(B8:M8)</f>
        <v>209591.71000000002</v>
      </c>
    </row>
    <row r="9" spans="1:15" x14ac:dyDescent="0.2">
      <c r="A9" s="17" t="s">
        <v>27</v>
      </c>
      <c r="B9" s="19">
        <f>850+2500.11+625+830+834</f>
        <v>5639.1100000000006</v>
      </c>
      <c r="C9" s="16">
        <f>660+625+825+830</f>
        <v>2940</v>
      </c>
      <c r="D9" s="16">
        <f>1250.13+850+833+833.33+840+1400.02+1250</f>
        <v>7256.48</v>
      </c>
      <c r="E9" s="16">
        <f>2500+1250.13+2500+2500</f>
        <v>8750.130000000001</v>
      </c>
      <c r="F9" s="16">
        <v>2500</v>
      </c>
      <c r="G9" s="16"/>
      <c r="H9" s="16"/>
      <c r="I9" s="16"/>
      <c r="J9" s="16"/>
      <c r="K9" s="18"/>
      <c r="L9" s="16"/>
      <c r="M9" s="18"/>
      <c r="N9" s="3"/>
      <c r="O9" s="16">
        <f>SUM(B9:M9)</f>
        <v>27085.72</v>
      </c>
    </row>
    <row r="10" spans="1:15" x14ac:dyDescent="0.2">
      <c r="A10" s="15" t="s">
        <v>26</v>
      </c>
      <c r="B10" s="18"/>
      <c r="C10" s="18"/>
      <c r="D10" s="18"/>
      <c r="E10" s="18"/>
      <c r="F10" s="16"/>
      <c r="G10" s="16"/>
      <c r="H10" s="16"/>
      <c r="I10" s="16"/>
      <c r="J10" s="16"/>
      <c r="K10" s="18"/>
      <c r="L10" s="16"/>
      <c r="M10" s="18"/>
      <c r="N10" s="3"/>
      <c r="O10" s="16">
        <f>SUM(B10:M10)</f>
        <v>0</v>
      </c>
    </row>
    <row r="11" spans="1:15" x14ac:dyDescent="0.2">
      <c r="A11" s="17" t="s">
        <v>59</v>
      </c>
      <c r="B11" s="16"/>
      <c r="C11" s="16"/>
      <c r="D11" s="16"/>
      <c r="E11" s="16"/>
      <c r="F11" s="16"/>
      <c r="G11" s="16"/>
      <c r="H11" s="16"/>
      <c r="I11" s="16"/>
      <c r="J11" s="16"/>
      <c r="K11" s="18"/>
      <c r="L11" s="16"/>
      <c r="M11" s="18"/>
      <c r="N11" s="3"/>
      <c r="O11" s="16">
        <f>SUM(B11:M11)</f>
        <v>0</v>
      </c>
    </row>
    <row r="12" spans="1:15" x14ac:dyDescent="0.2">
      <c r="A12" s="4" t="s">
        <v>28</v>
      </c>
      <c r="B12" s="16">
        <f>SUM(B7:B11)</f>
        <v>8140.8700000000008</v>
      </c>
      <c r="C12" s="16">
        <f>SUM(C7:C11)</f>
        <v>6571.7699999999995</v>
      </c>
      <c r="D12" s="16">
        <f t="shared" ref="D12:M12" si="1">SUM(D7:D11)</f>
        <v>52364.639999999999</v>
      </c>
      <c r="E12" s="16">
        <f t="shared" si="1"/>
        <v>98206.66</v>
      </c>
      <c r="F12" s="16">
        <f t="shared" si="1"/>
        <v>17230.59</v>
      </c>
      <c r="G12" s="16">
        <f t="shared" si="1"/>
        <v>30264.28</v>
      </c>
      <c r="H12" s="16">
        <f t="shared" si="1"/>
        <v>15443.26</v>
      </c>
      <c r="I12" s="16">
        <f t="shared" si="1"/>
        <v>6434.85</v>
      </c>
      <c r="J12" s="16">
        <f t="shared" si="1"/>
        <v>1820.5099999999998</v>
      </c>
      <c r="K12" s="18">
        <f t="shared" si="1"/>
        <v>200</v>
      </c>
      <c r="L12" s="16">
        <f t="shared" si="1"/>
        <v>0</v>
      </c>
      <c r="M12" s="18">
        <f t="shared" si="1"/>
        <v>0</v>
      </c>
      <c r="N12" s="3"/>
      <c r="O12" s="16">
        <f>O7+O8+O9+O10+O11</f>
        <v>236677.43000000002</v>
      </c>
    </row>
    <row r="13" spans="1:15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8"/>
      <c r="L13" s="16"/>
      <c r="M13" s="18"/>
      <c r="N13" s="3"/>
      <c r="O13" s="15"/>
    </row>
    <row r="14" spans="1:15" x14ac:dyDescent="0.2">
      <c r="A14" s="4" t="s">
        <v>29</v>
      </c>
      <c r="B14" s="16"/>
      <c r="C14" s="16"/>
      <c r="D14" s="16"/>
      <c r="E14" s="16"/>
      <c r="F14" s="16"/>
      <c r="G14" s="16"/>
      <c r="H14" s="16"/>
      <c r="I14" s="16"/>
      <c r="J14" s="16"/>
      <c r="K14" s="18"/>
      <c r="L14" s="16"/>
      <c r="M14" s="18"/>
      <c r="N14" s="3"/>
      <c r="O14" s="15"/>
    </row>
    <row r="15" spans="1:15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8"/>
      <c r="L15" s="16"/>
      <c r="M15" s="18"/>
      <c r="N15" s="3"/>
      <c r="O15" s="15"/>
    </row>
    <row r="16" spans="1:15" x14ac:dyDescent="0.2">
      <c r="A16" s="15" t="s">
        <v>30</v>
      </c>
      <c r="B16" s="16">
        <v>0</v>
      </c>
      <c r="C16" s="16">
        <v>0</v>
      </c>
      <c r="D16" s="16">
        <v>0</v>
      </c>
      <c r="E16" s="16">
        <v>13000</v>
      </c>
      <c r="F16" s="16">
        <v>7500</v>
      </c>
      <c r="G16" s="16">
        <v>8000</v>
      </c>
      <c r="H16" s="16">
        <v>6000</v>
      </c>
      <c r="I16" s="16">
        <v>2000</v>
      </c>
      <c r="J16" s="16">
        <v>14000</v>
      </c>
      <c r="K16" s="18">
        <v>8000</v>
      </c>
      <c r="L16" s="16">
        <v>6000</v>
      </c>
      <c r="M16" s="18">
        <f>8000+3000</f>
        <v>11000</v>
      </c>
      <c r="N16" s="3"/>
      <c r="O16" s="16">
        <f>SUM(B16:M16)</f>
        <v>75500</v>
      </c>
    </row>
    <row r="17" spans="1:15" x14ac:dyDescent="0.2">
      <c r="A17" s="17" t="s">
        <v>8</v>
      </c>
      <c r="B17" s="16">
        <v>0</v>
      </c>
      <c r="C17" s="16"/>
      <c r="D17" s="18"/>
      <c r="E17" s="16"/>
      <c r="F17" s="16"/>
      <c r="G17" s="18">
        <v>9330</v>
      </c>
      <c r="H17" s="16"/>
      <c r="I17" s="16"/>
      <c r="J17" s="16"/>
      <c r="K17" s="16"/>
      <c r="L17" s="16">
        <v>11196</v>
      </c>
      <c r="M17" s="18">
        <v>3110</v>
      </c>
      <c r="N17" s="3"/>
      <c r="O17" s="16">
        <f>SUM(B17:M17)</f>
        <v>23636</v>
      </c>
    </row>
    <row r="18" spans="1:15" x14ac:dyDescent="0.2">
      <c r="A18" s="4" t="s">
        <v>64</v>
      </c>
      <c r="B18" s="16">
        <f t="shared" ref="B18:M18" si="2">B16+B17</f>
        <v>0</v>
      </c>
      <c r="C18" s="16">
        <f t="shared" si="2"/>
        <v>0</v>
      </c>
      <c r="D18" s="16">
        <f t="shared" si="2"/>
        <v>0</v>
      </c>
      <c r="E18" s="16">
        <f t="shared" si="2"/>
        <v>13000</v>
      </c>
      <c r="F18" s="16">
        <f t="shared" si="2"/>
        <v>7500</v>
      </c>
      <c r="G18" s="16">
        <f t="shared" si="2"/>
        <v>17330</v>
      </c>
      <c r="H18" s="16">
        <f t="shared" si="2"/>
        <v>6000</v>
      </c>
      <c r="I18" s="16">
        <f t="shared" si="2"/>
        <v>2000</v>
      </c>
      <c r="J18" s="16">
        <f t="shared" si="2"/>
        <v>14000</v>
      </c>
      <c r="K18" s="16">
        <f t="shared" si="2"/>
        <v>8000</v>
      </c>
      <c r="L18" s="16">
        <f t="shared" si="2"/>
        <v>17196</v>
      </c>
      <c r="M18" s="16">
        <f t="shared" si="2"/>
        <v>14110</v>
      </c>
      <c r="N18" s="3"/>
      <c r="O18" s="16">
        <f>O16+O17</f>
        <v>99136</v>
      </c>
    </row>
    <row r="19" spans="1:15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8"/>
      <c r="N19" s="3"/>
      <c r="O19" s="16"/>
    </row>
    <row r="20" spans="1:15" x14ac:dyDescent="0.2">
      <c r="A20" s="4" t="s">
        <v>31</v>
      </c>
      <c r="B20" s="16">
        <v>0</v>
      </c>
      <c r="C20" s="16"/>
      <c r="D20" s="16">
        <f>3334+7227</f>
        <v>10561</v>
      </c>
      <c r="E20" s="16"/>
      <c r="F20" s="16">
        <v>3620</v>
      </c>
      <c r="G20" s="16">
        <f>3620+3620</f>
        <v>7240</v>
      </c>
      <c r="H20" s="16">
        <v>3620</v>
      </c>
      <c r="I20" s="16">
        <f>3620+7240</f>
        <v>10860</v>
      </c>
      <c r="J20" s="16">
        <f>3000+7000</f>
        <v>10000</v>
      </c>
      <c r="K20" s="18">
        <v>3030</v>
      </c>
      <c r="L20" s="16">
        <v>3620</v>
      </c>
      <c r="M20" s="18">
        <f>5430+3580</f>
        <v>9010</v>
      </c>
      <c r="N20" s="3"/>
      <c r="O20" s="16">
        <f>SUM(B20:M20)</f>
        <v>61561</v>
      </c>
    </row>
    <row r="21" spans="1:15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/>
      <c r="N21" s="3"/>
      <c r="O21" s="16"/>
    </row>
    <row r="22" spans="1:15" x14ac:dyDescent="0.2">
      <c r="A22" s="15" t="s">
        <v>32</v>
      </c>
      <c r="B22" s="16"/>
      <c r="C22" s="16">
        <v>9664</v>
      </c>
      <c r="D22" s="16">
        <f>8000+3104</f>
        <v>11104</v>
      </c>
      <c r="E22" s="16"/>
      <c r="F22" s="16">
        <v>370</v>
      </c>
      <c r="G22" s="16"/>
      <c r="H22" s="16"/>
      <c r="I22" s="16"/>
      <c r="J22" s="16"/>
      <c r="K22" s="16"/>
      <c r="L22" s="16"/>
      <c r="M22" s="18"/>
      <c r="N22" s="3"/>
      <c r="O22" s="16">
        <f>SUM(B22:M22)</f>
        <v>21138</v>
      </c>
    </row>
    <row r="23" spans="1:15" x14ac:dyDescent="0.2">
      <c r="A23" s="15" t="s">
        <v>33</v>
      </c>
      <c r="B23" s="16">
        <v>0</v>
      </c>
      <c r="C23" s="18"/>
      <c r="D23" s="16">
        <v>349.5</v>
      </c>
      <c r="E23" s="16">
        <v>159.97999999999999</v>
      </c>
      <c r="F23" s="16"/>
      <c r="G23" s="16"/>
      <c r="H23" s="16"/>
      <c r="I23" s="16">
        <v>450</v>
      </c>
      <c r="J23" s="16"/>
      <c r="K23" s="16">
        <v>320</v>
      </c>
      <c r="L23" s="16"/>
      <c r="M23" s="18"/>
      <c r="N23" s="3"/>
      <c r="O23" s="16">
        <f>SUM(B23:M23)</f>
        <v>1279.48</v>
      </c>
    </row>
    <row r="24" spans="1:15" x14ac:dyDescent="0.2">
      <c r="A24" s="17" t="s">
        <v>34</v>
      </c>
      <c r="B24" s="16">
        <v>0</v>
      </c>
      <c r="C24" s="16">
        <v>0</v>
      </c>
      <c r="D24" s="18">
        <v>950</v>
      </c>
      <c r="E24" s="16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8">
        <v>0</v>
      </c>
      <c r="N24" s="3"/>
      <c r="O24" s="16">
        <f>SUM(B24:M24)</f>
        <v>950</v>
      </c>
    </row>
    <row r="25" spans="1:15" x14ac:dyDescent="0.2">
      <c r="A25" s="4" t="s">
        <v>35</v>
      </c>
      <c r="B25" s="16">
        <f>SUM(B22:B24)</f>
        <v>0</v>
      </c>
      <c r="C25" s="16">
        <f>SUM(C22:C24)</f>
        <v>9664</v>
      </c>
      <c r="D25" s="16">
        <f t="shared" ref="D25:M25" si="3">SUM(D22:D24)</f>
        <v>12403.5</v>
      </c>
      <c r="E25" s="16">
        <f t="shared" si="3"/>
        <v>159.97999999999999</v>
      </c>
      <c r="F25" s="16">
        <f t="shared" si="3"/>
        <v>370</v>
      </c>
      <c r="G25" s="16">
        <f t="shared" si="3"/>
        <v>0</v>
      </c>
      <c r="H25" s="16">
        <f t="shared" si="3"/>
        <v>0</v>
      </c>
      <c r="I25" s="16">
        <f t="shared" si="3"/>
        <v>450</v>
      </c>
      <c r="J25" s="16">
        <f t="shared" si="3"/>
        <v>0</v>
      </c>
      <c r="K25" s="16">
        <f t="shared" si="3"/>
        <v>320</v>
      </c>
      <c r="L25" s="16">
        <f t="shared" si="3"/>
        <v>0</v>
      </c>
      <c r="M25" s="18">
        <f t="shared" si="3"/>
        <v>0</v>
      </c>
      <c r="N25" s="3"/>
      <c r="O25" s="16">
        <f>O22+O23+O24</f>
        <v>23367.48</v>
      </c>
    </row>
    <row r="26" spans="1:15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8"/>
      <c r="N26" s="3"/>
      <c r="O26" s="16"/>
    </row>
    <row r="27" spans="1:15" x14ac:dyDescent="0.2">
      <c r="A27" s="15" t="s">
        <v>36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8">
        <v>41860</v>
      </c>
      <c r="L27" s="16">
        <v>250</v>
      </c>
      <c r="M27" s="18">
        <f>150-100.03-1150</f>
        <v>-1100.03</v>
      </c>
      <c r="N27" s="3"/>
      <c r="O27" s="16">
        <f t="shared" ref="O27:O32" si="4">SUM(B27:M27)</f>
        <v>41009.97</v>
      </c>
    </row>
    <row r="28" spans="1:15" x14ac:dyDescent="0.2">
      <c r="A28" s="15" t="s">
        <v>62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8"/>
      <c r="L28" s="16">
        <v>286</v>
      </c>
      <c r="M28" s="18"/>
      <c r="N28" s="3"/>
      <c r="O28" s="16">
        <f t="shared" si="4"/>
        <v>286</v>
      </c>
    </row>
    <row r="29" spans="1:15" x14ac:dyDescent="0.2">
      <c r="A29" s="15" t="s">
        <v>37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8"/>
      <c r="L29" s="16"/>
      <c r="M29" s="18">
        <v>1830</v>
      </c>
      <c r="N29" s="3"/>
      <c r="O29" s="16">
        <f t="shared" si="4"/>
        <v>1830</v>
      </c>
    </row>
    <row r="30" spans="1:15" x14ac:dyDescent="0.2">
      <c r="A30" s="15" t="s">
        <v>63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8">
        <f>125+1250+1250+3200+280</f>
        <v>6105</v>
      </c>
      <c r="L30" s="16">
        <v>436.06</v>
      </c>
      <c r="M30" s="18">
        <v>896</v>
      </c>
      <c r="N30" s="3"/>
      <c r="O30" s="16">
        <f t="shared" si="4"/>
        <v>7437.06</v>
      </c>
    </row>
    <row r="31" spans="1:15" x14ac:dyDescent="0.2">
      <c r="A31" s="15" t="s">
        <v>38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8"/>
      <c r="L31" s="16"/>
      <c r="M31" s="18">
        <v>600</v>
      </c>
      <c r="N31" s="3"/>
      <c r="O31" s="16">
        <f t="shared" si="4"/>
        <v>600</v>
      </c>
    </row>
    <row r="32" spans="1:15" x14ac:dyDescent="0.2">
      <c r="A32" s="17"/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/>
      <c r="H32" s="16">
        <v>0</v>
      </c>
      <c r="I32" s="16">
        <v>0</v>
      </c>
      <c r="J32" s="16">
        <v>0</v>
      </c>
      <c r="K32" s="18"/>
      <c r="L32" s="16"/>
      <c r="M32" s="18">
        <v>0</v>
      </c>
      <c r="N32" s="3"/>
      <c r="O32" s="16">
        <f t="shared" si="4"/>
        <v>0</v>
      </c>
    </row>
    <row r="33" spans="1:15" x14ac:dyDescent="0.2">
      <c r="A33" s="4" t="s">
        <v>39</v>
      </c>
      <c r="B33" s="16">
        <f>SUM(B27:B32)</f>
        <v>0</v>
      </c>
      <c r="C33" s="16">
        <f>SUM(C27:C32)</f>
        <v>0</v>
      </c>
      <c r="D33" s="16">
        <f t="shared" ref="D33:M33" si="5">SUM(D27:D32)</f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8">
        <f t="shared" si="5"/>
        <v>47965</v>
      </c>
      <c r="L33" s="16">
        <f t="shared" si="5"/>
        <v>972.06</v>
      </c>
      <c r="M33" s="18">
        <f t="shared" si="5"/>
        <v>2225.9700000000003</v>
      </c>
      <c r="N33" s="3"/>
      <c r="O33" s="16">
        <f>O27+O28+O29+O30+O31+O32</f>
        <v>51163.03</v>
      </c>
    </row>
    <row r="34" spans="1:15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8"/>
      <c r="L34" s="16"/>
      <c r="M34" s="18"/>
      <c r="N34" s="3"/>
      <c r="O34" s="16"/>
    </row>
    <row r="35" spans="1:15" x14ac:dyDescent="0.2">
      <c r="A35" s="17" t="s">
        <v>40</v>
      </c>
      <c r="B35" s="16">
        <v>500</v>
      </c>
      <c r="C35" s="19"/>
      <c r="D35" s="19">
        <f>100+190</f>
        <v>290</v>
      </c>
      <c r="E35" s="19">
        <v>319.60000000000002</v>
      </c>
      <c r="F35" s="19">
        <v>0</v>
      </c>
      <c r="G35" s="19">
        <v>25</v>
      </c>
      <c r="H35" s="19">
        <v>0</v>
      </c>
      <c r="I35" s="19">
        <v>0</v>
      </c>
      <c r="J35" s="19">
        <v>76.98</v>
      </c>
      <c r="K35" s="20">
        <v>328.8</v>
      </c>
      <c r="L35" s="19">
        <v>0</v>
      </c>
      <c r="M35" s="20">
        <v>0</v>
      </c>
      <c r="N35" s="3"/>
      <c r="O35" s="16">
        <f>SUM(B35:M35)</f>
        <v>1540.3799999999999</v>
      </c>
    </row>
    <row r="36" spans="1:15" x14ac:dyDescent="0.2">
      <c r="A36" s="15" t="s">
        <v>41</v>
      </c>
      <c r="B36" s="16"/>
      <c r="C36" s="20">
        <v>420</v>
      </c>
      <c r="D36" s="19">
        <v>420</v>
      </c>
      <c r="E36" s="19"/>
      <c r="F36" s="19"/>
      <c r="G36" s="20">
        <f>585+1015+420</f>
        <v>2020</v>
      </c>
      <c r="H36" s="19">
        <v>420</v>
      </c>
      <c r="I36" s="19">
        <v>420</v>
      </c>
      <c r="J36" s="19">
        <v>988</v>
      </c>
      <c r="K36" s="20">
        <f>420+420</f>
        <v>840</v>
      </c>
      <c r="L36" s="19"/>
      <c r="M36" s="20">
        <f>210+420</f>
        <v>630</v>
      </c>
      <c r="N36" s="3"/>
      <c r="O36" s="16">
        <f>SUM(B36:M36)</f>
        <v>6158</v>
      </c>
    </row>
    <row r="37" spans="1:15" x14ac:dyDescent="0.2">
      <c r="A37" s="15" t="s">
        <v>42</v>
      </c>
      <c r="B37" s="16">
        <v>117.24</v>
      </c>
      <c r="C37" s="19">
        <v>128.19</v>
      </c>
      <c r="D37" s="19">
        <f>128.19+2.2</f>
        <v>130.38999999999999</v>
      </c>
      <c r="E37" s="19">
        <f>128.19+8.8</f>
        <v>136.99</v>
      </c>
      <c r="F37" s="19">
        <f>8.8+7.6+128.19</f>
        <v>144.59</v>
      </c>
      <c r="G37" s="19">
        <f>113.94+4.4+15.2</f>
        <v>133.54</v>
      </c>
      <c r="H37" s="19">
        <f>113.94+4.4+13.3</f>
        <v>131.64000000000001</v>
      </c>
      <c r="I37" s="19">
        <f>113.94+19</f>
        <v>132.94</v>
      </c>
      <c r="J37" s="19">
        <f>113.94+2.2+1.9</f>
        <v>118.04</v>
      </c>
      <c r="K37" s="20">
        <v>113.94</v>
      </c>
      <c r="L37" s="19">
        <v>113.94</v>
      </c>
      <c r="M37" s="20">
        <v>113.94</v>
      </c>
      <c r="N37" s="3"/>
      <c r="O37" s="16">
        <f>SUM(B37:M37)</f>
        <v>1515.38</v>
      </c>
    </row>
    <row r="38" spans="1:15" x14ac:dyDescent="0.2">
      <c r="A38" s="15" t="s">
        <v>43</v>
      </c>
      <c r="B38" s="16">
        <v>40</v>
      </c>
      <c r="C38" s="19">
        <v>200.64</v>
      </c>
      <c r="D38" s="19"/>
      <c r="E38" s="19"/>
      <c r="F38" s="19"/>
      <c r="G38" s="19"/>
      <c r="H38" s="19"/>
      <c r="I38" s="19"/>
      <c r="J38" s="19"/>
      <c r="K38" s="20"/>
      <c r="L38" s="19"/>
      <c r="M38" s="20"/>
      <c r="N38" s="3"/>
      <c r="O38" s="16">
        <f>SUM(B38:M38)</f>
        <v>240.64</v>
      </c>
    </row>
    <row r="39" spans="1:15" x14ac:dyDescent="0.2">
      <c r="A39" s="15" t="s">
        <v>44</v>
      </c>
      <c r="B39" s="18"/>
      <c r="C39" s="19"/>
      <c r="D39" s="19">
        <v>0</v>
      </c>
      <c r="E39" s="19"/>
      <c r="F39" s="20">
        <v>360</v>
      </c>
      <c r="G39" s="19">
        <v>0</v>
      </c>
      <c r="H39" s="19">
        <f>129.6+213.67</f>
        <v>343.27</v>
      </c>
      <c r="I39" s="20"/>
      <c r="J39" s="20"/>
      <c r="K39" s="20">
        <v>394</v>
      </c>
      <c r="L39" s="19">
        <v>0</v>
      </c>
      <c r="M39" s="20">
        <v>0</v>
      </c>
      <c r="N39" s="3"/>
      <c r="O39" s="16">
        <f>SUM(B39:M39)</f>
        <v>1097.27</v>
      </c>
    </row>
    <row r="40" spans="1:15" x14ac:dyDescent="0.2">
      <c r="A40" s="4" t="s">
        <v>45</v>
      </c>
      <c r="B40" s="16">
        <f>B35+B36+B37+B38+B39</f>
        <v>657.24</v>
      </c>
      <c r="C40" s="19">
        <f>C35+C36+C37+C38+C39</f>
        <v>748.83</v>
      </c>
      <c r="D40" s="19">
        <f t="shared" ref="D40:M40" si="6">D35+D36+D37+D38+D39</f>
        <v>840.39</v>
      </c>
      <c r="E40" s="19">
        <f t="shared" si="6"/>
        <v>456.59000000000003</v>
      </c>
      <c r="F40" s="19">
        <f t="shared" si="6"/>
        <v>504.59000000000003</v>
      </c>
      <c r="G40" s="19">
        <f t="shared" si="6"/>
        <v>2178.54</v>
      </c>
      <c r="H40" s="19">
        <f t="shared" si="6"/>
        <v>894.91</v>
      </c>
      <c r="I40" s="19">
        <f t="shared" si="6"/>
        <v>552.94000000000005</v>
      </c>
      <c r="J40" s="19">
        <f t="shared" si="6"/>
        <v>1183.02</v>
      </c>
      <c r="K40" s="20">
        <f t="shared" si="6"/>
        <v>1676.74</v>
      </c>
      <c r="L40" s="19">
        <f t="shared" si="6"/>
        <v>113.94</v>
      </c>
      <c r="M40" s="20">
        <f t="shared" si="6"/>
        <v>743.94</v>
      </c>
      <c r="N40" s="3"/>
      <c r="O40" s="16">
        <f>O35+O36+O37+O38+O39</f>
        <v>10551.67</v>
      </c>
    </row>
    <row r="41" spans="1:15" x14ac:dyDescent="0.2">
      <c r="A41" s="4"/>
      <c r="B41" s="16"/>
      <c r="C41" s="16"/>
      <c r="D41" s="16"/>
      <c r="E41" s="16"/>
      <c r="F41" s="16"/>
      <c r="G41" s="16"/>
      <c r="H41" s="16"/>
      <c r="I41" s="16"/>
      <c r="J41" s="16"/>
      <c r="K41" s="18"/>
      <c r="L41" s="16"/>
      <c r="M41" s="18"/>
      <c r="N41" s="3"/>
      <c r="O41" s="16"/>
    </row>
    <row r="42" spans="1:15" x14ac:dyDescent="0.2">
      <c r="A42" s="4" t="s">
        <v>46</v>
      </c>
      <c r="B42" s="16">
        <f>B18+B20+B25+B33+B40</f>
        <v>657.24</v>
      </c>
      <c r="C42" s="16">
        <f>C18+C20+C25+C33+C40</f>
        <v>10412.83</v>
      </c>
      <c r="D42" s="16">
        <f t="shared" ref="D42:M42" si="7">D18+D20+D25+D33+D40</f>
        <v>23804.89</v>
      </c>
      <c r="E42" s="16">
        <f t="shared" si="7"/>
        <v>13616.57</v>
      </c>
      <c r="F42" s="16">
        <f t="shared" si="7"/>
        <v>11994.59</v>
      </c>
      <c r="G42" s="16">
        <f t="shared" si="7"/>
        <v>26748.54</v>
      </c>
      <c r="H42" s="16">
        <f t="shared" si="7"/>
        <v>10514.91</v>
      </c>
      <c r="I42" s="16">
        <f t="shared" si="7"/>
        <v>13862.94</v>
      </c>
      <c r="J42" s="16">
        <f t="shared" si="7"/>
        <v>25183.02</v>
      </c>
      <c r="K42" s="18">
        <f t="shared" si="7"/>
        <v>60991.74</v>
      </c>
      <c r="L42" s="16">
        <f t="shared" si="7"/>
        <v>21902</v>
      </c>
      <c r="M42" s="18">
        <f t="shared" si="7"/>
        <v>26089.91</v>
      </c>
      <c r="N42" s="3"/>
      <c r="O42" s="16">
        <f>SUM(B42:M42)</f>
        <v>245779.18</v>
      </c>
    </row>
    <row r="43" spans="1:15" x14ac:dyDescent="0.2">
      <c r="A43" s="4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16"/>
      <c r="M43" s="18"/>
      <c r="N43" s="3"/>
      <c r="O43" s="16"/>
    </row>
    <row r="44" spans="1:15" x14ac:dyDescent="0.2">
      <c r="A44" s="4" t="s">
        <v>47</v>
      </c>
      <c r="B44" s="16">
        <f t="shared" ref="B44:M45" si="8">+B53</f>
        <v>6797.86</v>
      </c>
      <c r="C44" s="16">
        <f t="shared" si="8"/>
        <v>5200</v>
      </c>
      <c r="D44" s="16">
        <f t="shared" si="8"/>
        <v>38289.979999999996</v>
      </c>
      <c r="E44" s="16">
        <f t="shared" si="8"/>
        <v>80400</v>
      </c>
      <c r="F44" s="16">
        <f t="shared" si="8"/>
        <v>30500</v>
      </c>
      <c r="G44" s="16">
        <f t="shared" si="8"/>
        <v>9339.58</v>
      </c>
      <c r="H44" s="16">
        <f t="shared" si="8"/>
        <v>9700</v>
      </c>
      <c r="I44" s="16">
        <f t="shared" si="8"/>
        <v>8500</v>
      </c>
      <c r="J44" s="16">
        <f t="shared" si="8"/>
        <v>0</v>
      </c>
      <c r="K44" s="18">
        <f t="shared" si="8"/>
        <v>0</v>
      </c>
      <c r="L44" s="16">
        <f t="shared" si="8"/>
        <v>0</v>
      </c>
      <c r="M44" s="18">
        <f t="shared" si="8"/>
        <v>0</v>
      </c>
      <c r="N44" s="3"/>
      <c r="O44" s="16">
        <f>SUM(B44:M44)</f>
        <v>188727.41999999998</v>
      </c>
    </row>
    <row r="45" spans="1:15" x14ac:dyDescent="0.2">
      <c r="A45" s="4" t="s">
        <v>48</v>
      </c>
      <c r="B45" s="16">
        <f>+B54</f>
        <v>0</v>
      </c>
      <c r="C45" s="16">
        <f t="shared" si="8"/>
        <v>9000</v>
      </c>
      <c r="D45" s="16">
        <f t="shared" si="8"/>
        <v>10185.450000000001</v>
      </c>
      <c r="E45" s="16">
        <f t="shared" si="8"/>
        <v>18000</v>
      </c>
      <c r="F45" s="16">
        <f t="shared" si="8"/>
        <v>5000</v>
      </c>
      <c r="G45" s="16">
        <f t="shared" si="8"/>
        <v>5200</v>
      </c>
      <c r="H45" s="16">
        <f t="shared" si="8"/>
        <v>6460</v>
      </c>
      <c r="I45" s="16">
        <f t="shared" si="8"/>
        <v>11300</v>
      </c>
      <c r="J45" s="16">
        <f t="shared" si="8"/>
        <v>25000</v>
      </c>
      <c r="K45" s="18">
        <f t="shared" si="8"/>
        <v>59150</v>
      </c>
      <c r="L45" s="16">
        <f t="shared" si="8"/>
        <v>22000</v>
      </c>
      <c r="M45" s="18">
        <f t="shared" si="8"/>
        <v>27050</v>
      </c>
      <c r="N45" s="3"/>
      <c r="O45" s="16">
        <f>SUM(B45:M45)</f>
        <v>198345.45</v>
      </c>
    </row>
    <row r="46" spans="1:15" x14ac:dyDescent="0.2">
      <c r="A46" s="4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16"/>
      <c r="M46" s="18"/>
      <c r="N46" s="3"/>
      <c r="O46" s="16"/>
    </row>
    <row r="47" spans="1:15" x14ac:dyDescent="0.2">
      <c r="A47" s="4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16"/>
      <c r="M47" s="18"/>
      <c r="N47" s="3"/>
      <c r="O47" s="15"/>
    </row>
    <row r="48" spans="1:15" x14ac:dyDescent="0.2">
      <c r="A48" s="4" t="s">
        <v>49</v>
      </c>
      <c r="B48" s="14">
        <f t="shared" ref="B48:O48" si="9">B5+B12-B42-B44+B45</f>
        <v>1585.3300000000008</v>
      </c>
      <c r="C48" s="14">
        <f t="shared" si="9"/>
        <v>1544.2700000000004</v>
      </c>
      <c r="D48" s="14">
        <f t="shared" si="9"/>
        <v>1999.4900000000089</v>
      </c>
      <c r="E48" s="14">
        <f t="shared" si="9"/>
        <v>24189.580000000016</v>
      </c>
      <c r="F48" s="14">
        <f t="shared" si="9"/>
        <v>3925.5800000000127</v>
      </c>
      <c r="G48" s="14">
        <f t="shared" si="9"/>
        <v>3301.7400000000143</v>
      </c>
      <c r="H48" s="14">
        <f t="shared" si="9"/>
        <v>4990.0900000000147</v>
      </c>
      <c r="I48" s="14">
        <f t="shared" si="9"/>
        <v>362.00000000001455</v>
      </c>
      <c r="J48" s="14">
        <f t="shared" si="9"/>
        <v>1999.4900000000125</v>
      </c>
      <c r="K48" s="21">
        <f t="shared" si="9"/>
        <v>357.75000000001455</v>
      </c>
      <c r="L48" s="14">
        <f t="shared" si="9"/>
        <v>455.75000000001455</v>
      </c>
      <c r="M48" s="21">
        <f t="shared" si="9"/>
        <v>1415.8400000000147</v>
      </c>
      <c r="N48" s="22">
        <f t="shared" si="9"/>
        <v>0</v>
      </c>
      <c r="O48" s="14">
        <f t="shared" si="9"/>
        <v>1415.8400000000547</v>
      </c>
    </row>
    <row r="49" spans="1:15" x14ac:dyDescent="0.2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16"/>
      <c r="M49" s="18"/>
      <c r="N49" s="3"/>
      <c r="O49" s="15"/>
    </row>
    <row r="50" spans="1:15" x14ac:dyDescent="0.2">
      <c r="A50" s="4" t="s">
        <v>50</v>
      </c>
      <c r="B50" s="15"/>
      <c r="C50" s="15"/>
      <c r="D50" s="16"/>
      <c r="E50" s="16"/>
      <c r="F50" s="16"/>
      <c r="G50" s="16"/>
      <c r="H50" s="16"/>
      <c r="I50" s="16"/>
      <c r="J50" s="16"/>
      <c r="K50" s="18"/>
      <c r="L50" s="15"/>
      <c r="M50" s="23"/>
      <c r="N50" s="3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3"/>
      <c r="L51" s="15"/>
      <c r="M51" s="23"/>
      <c r="N51" s="3"/>
      <c r="O51" s="15"/>
    </row>
    <row r="52" spans="1:15" x14ac:dyDescent="0.2">
      <c r="A52" s="15" t="s">
        <v>66</v>
      </c>
      <c r="B52" s="16">
        <v>5615.1</v>
      </c>
      <c r="C52" s="16">
        <f t="shared" ref="C52:M52" si="10">B57</f>
        <v>12412.96</v>
      </c>
      <c r="D52" s="16">
        <f t="shared" si="10"/>
        <v>8612.9599999999991</v>
      </c>
      <c r="E52" s="16">
        <f t="shared" si="10"/>
        <v>36717.489999999991</v>
      </c>
      <c r="F52" s="16">
        <f t="shared" si="10"/>
        <v>99117.489999999991</v>
      </c>
      <c r="G52" s="16">
        <f t="shared" si="10"/>
        <v>124617.48999999999</v>
      </c>
      <c r="H52" s="16">
        <f t="shared" si="10"/>
        <v>128757.06999999998</v>
      </c>
      <c r="I52" s="16">
        <f t="shared" si="10"/>
        <v>131997.06999999998</v>
      </c>
      <c r="J52" s="16">
        <f t="shared" si="10"/>
        <v>129197.06999999998</v>
      </c>
      <c r="K52" s="16">
        <f t="shared" si="10"/>
        <v>104197.06999999998</v>
      </c>
      <c r="L52" s="16">
        <f t="shared" si="10"/>
        <v>49049.64999999998</v>
      </c>
      <c r="M52" s="18">
        <f t="shared" si="10"/>
        <v>27611.229999999981</v>
      </c>
      <c r="N52" s="3"/>
      <c r="O52" s="16">
        <f>B52</f>
        <v>5615.1</v>
      </c>
    </row>
    <row r="53" spans="1:15" x14ac:dyDescent="0.2">
      <c r="A53" s="15" t="s">
        <v>51</v>
      </c>
      <c r="B53" s="16">
        <f>5900+897.86</f>
        <v>6797.86</v>
      </c>
      <c r="C53" s="16">
        <f>3200+1400+600</f>
        <v>5200</v>
      </c>
      <c r="D53" s="16">
        <f>1389.98+3700+5700+2500+25000</f>
        <v>38289.979999999996</v>
      </c>
      <c r="E53" s="16">
        <f>52400+12000+6000+10000</f>
        <v>80400</v>
      </c>
      <c r="F53" s="16">
        <f>23000+5000+2500</f>
        <v>30500</v>
      </c>
      <c r="G53" s="16">
        <f>3400+3200+2739.58</f>
        <v>9339.58</v>
      </c>
      <c r="H53" s="16">
        <f>1500+1800+2400+4000</f>
        <v>9700</v>
      </c>
      <c r="I53" s="16">
        <f>7000+1500</f>
        <v>8500</v>
      </c>
      <c r="J53" s="16"/>
      <c r="K53" s="16"/>
      <c r="L53" s="16"/>
      <c r="M53" s="18"/>
      <c r="N53" s="3"/>
      <c r="O53" s="16">
        <f>O44</f>
        <v>188727.41999999998</v>
      </c>
    </row>
    <row r="54" spans="1:15" x14ac:dyDescent="0.2">
      <c r="A54" s="15" t="s">
        <v>52</v>
      </c>
      <c r="B54" s="16"/>
      <c r="C54" s="16">
        <v>9000</v>
      </c>
      <c r="D54" s="16">
        <f>1389.98+1391.63+903.84+5000+1500</f>
        <v>10185.450000000001</v>
      </c>
      <c r="E54" s="16">
        <f>12000+6000</f>
        <v>18000</v>
      </c>
      <c r="F54" s="16">
        <v>5000</v>
      </c>
      <c r="G54" s="16">
        <v>5200</v>
      </c>
      <c r="H54" s="16">
        <f>2500+3600+360</f>
        <v>6460</v>
      </c>
      <c r="I54" s="19">
        <f>500+1300+2500+7000</f>
        <v>11300</v>
      </c>
      <c r="J54" s="16">
        <f>1000+17000+7000</f>
        <v>25000</v>
      </c>
      <c r="K54" s="16">
        <f>6300+1250+600+8000+42000+1000</f>
        <v>59150</v>
      </c>
      <c r="L54" s="16">
        <v>22000</v>
      </c>
      <c r="M54" s="18">
        <v>27050</v>
      </c>
      <c r="N54" s="3"/>
      <c r="O54" s="16">
        <f>O45</f>
        <v>198345.45</v>
      </c>
    </row>
    <row r="55" spans="1:15" x14ac:dyDescent="0.2">
      <c r="A55" s="15" t="s">
        <v>60</v>
      </c>
      <c r="B55" s="16"/>
      <c r="C55" s="16"/>
      <c r="D55" s="16"/>
      <c r="E55" s="16"/>
      <c r="F55" s="16"/>
      <c r="G55" s="16"/>
      <c r="H55" s="16"/>
      <c r="I55" s="20"/>
      <c r="J55" s="18"/>
      <c r="K55" s="18">
        <v>4002.58</v>
      </c>
      <c r="L55" s="18">
        <v>561.58000000000004</v>
      </c>
      <c r="M55" s="18">
        <v>52.46</v>
      </c>
      <c r="N55" s="3"/>
      <c r="O55" s="16">
        <f>SUM(B55:M55)</f>
        <v>4616.62</v>
      </c>
    </row>
    <row r="56" spans="1:15" x14ac:dyDescent="0.2">
      <c r="A56" s="17" t="s">
        <v>53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3"/>
      <c r="O56" s="16">
        <f>SUM(B56:M56)</f>
        <v>0</v>
      </c>
    </row>
    <row r="57" spans="1:15" x14ac:dyDescent="0.2">
      <c r="A57" s="4" t="s">
        <v>54</v>
      </c>
      <c r="B57" s="14">
        <f>B52+B53-B54+B55-B56</f>
        <v>12412.96</v>
      </c>
      <c r="C57" s="14">
        <f>C52+C53-C54+C55-C56</f>
        <v>8612.9599999999991</v>
      </c>
      <c r="D57" s="14">
        <f t="shared" ref="D57:M57" si="11">D52+D53-D54+D55-D56</f>
        <v>36717.489999999991</v>
      </c>
      <c r="E57" s="14">
        <f t="shared" si="11"/>
        <v>99117.489999999991</v>
      </c>
      <c r="F57" s="14">
        <f t="shared" si="11"/>
        <v>124617.48999999999</v>
      </c>
      <c r="G57" s="14">
        <f t="shared" si="11"/>
        <v>128757.06999999998</v>
      </c>
      <c r="H57" s="14">
        <f t="shared" si="11"/>
        <v>131997.06999999998</v>
      </c>
      <c r="I57" s="14">
        <f t="shared" si="11"/>
        <v>129197.06999999998</v>
      </c>
      <c r="J57" s="14">
        <f t="shared" si="11"/>
        <v>104197.06999999998</v>
      </c>
      <c r="K57" s="14">
        <f t="shared" si="11"/>
        <v>49049.64999999998</v>
      </c>
      <c r="L57" s="14">
        <f t="shared" si="11"/>
        <v>27611.229999999981</v>
      </c>
      <c r="M57" s="14">
        <f t="shared" si="11"/>
        <v>613.68999999998141</v>
      </c>
      <c r="N57" s="3"/>
      <c r="O57" s="14">
        <f>O52+O53-O54+O55-O56</f>
        <v>613.68999999997777</v>
      </c>
    </row>
    <row r="58" spans="1:15" x14ac:dyDescent="0.2">
      <c r="A58" s="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3"/>
      <c r="O58" s="11"/>
    </row>
    <row r="59" spans="1:15" x14ac:dyDescent="0.2">
      <c r="A59" s="2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"/>
      <c r="O59" s="2"/>
    </row>
    <row r="60" spans="1:15" x14ac:dyDescent="0.2">
      <c r="A60" s="4" t="s">
        <v>55</v>
      </c>
      <c r="B60" s="14">
        <f>B48+B57</f>
        <v>13998.29</v>
      </c>
      <c r="C60" s="14">
        <f>C48+C57</f>
        <v>10157.23</v>
      </c>
      <c r="D60" s="14">
        <f t="shared" ref="D60:M60" si="12">D48+D57</f>
        <v>38716.979999999996</v>
      </c>
      <c r="E60" s="14">
        <f t="shared" si="12"/>
        <v>123307.07</v>
      </c>
      <c r="F60" s="14">
        <f t="shared" si="12"/>
        <v>128543.07</v>
      </c>
      <c r="G60" s="14">
        <f t="shared" si="12"/>
        <v>132058.81</v>
      </c>
      <c r="H60" s="14">
        <f t="shared" si="12"/>
        <v>136987.16</v>
      </c>
      <c r="I60" s="14">
        <f t="shared" si="12"/>
        <v>129559.06999999999</v>
      </c>
      <c r="J60" s="14">
        <f t="shared" si="12"/>
        <v>106196.56</v>
      </c>
      <c r="K60" s="14">
        <f t="shared" si="12"/>
        <v>49407.399999999994</v>
      </c>
      <c r="L60" s="14">
        <f t="shared" si="12"/>
        <v>28066.979999999996</v>
      </c>
      <c r="M60" s="14">
        <f t="shared" si="12"/>
        <v>2029.5299999999961</v>
      </c>
      <c r="N60" s="3"/>
      <c r="O60" s="14">
        <f>O48+O57</f>
        <v>2029.5300000000325</v>
      </c>
    </row>
    <row r="61" spans="1:15" x14ac:dyDescent="0.2">
      <c r="A61" s="11"/>
      <c r="B61" s="11"/>
      <c r="C61" s="11"/>
      <c r="D61" s="11"/>
      <c r="E61" s="11"/>
      <c r="F61" s="11"/>
      <c r="G61" s="25"/>
      <c r="H61" s="25"/>
      <c r="I61" s="11"/>
      <c r="J61" s="25"/>
      <c r="K61" s="25"/>
      <c r="L61" s="25"/>
      <c r="M61" s="25"/>
      <c r="N61" s="3"/>
      <c r="O61" s="11"/>
    </row>
    <row r="62" spans="1:15" x14ac:dyDescent="0.2">
      <c r="A62" s="26" t="s">
        <v>56</v>
      </c>
    </row>
    <row r="63" spans="1:15" x14ac:dyDescent="0.2">
      <c r="A63" t="s">
        <v>65</v>
      </c>
      <c r="M63" s="27"/>
    </row>
    <row r="64" spans="1:15" x14ac:dyDescent="0.2">
      <c r="K64" s="27"/>
    </row>
    <row r="66" spans="2:13" x14ac:dyDescent="0.2">
      <c r="B66">
        <v>899.56</v>
      </c>
      <c r="I66" s="27"/>
      <c r="J66" s="27"/>
      <c r="K66" s="27"/>
      <c r="L66" s="27"/>
      <c r="M66" s="27"/>
    </row>
    <row r="67" spans="2:13" x14ac:dyDescent="0.2">
      <c r="B67">
        <v>5615.1</v>
      </c>
      <c r="M67" s="27"/>
    </row>
  </sheetData>
  <pageMargins left="0.51181102362204722" right="0.51181102362204722" top="0.78740157480314965" bottom="0.78740157480314965" header="0.31496062992125984" footer="0.31496062992125984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46" sqref="C46"/>
    </sheetView>
  </sheetViews>
  <sheetFormatPr defaultRowHeight="12.75" x14ac:dyDescent="0.2"/>
  <cols>
    <col min="1" max="1" width="1.85546875" customWidth="1"/>
    <col min="2" max="2" width="9.5703125" customWidth="1"/>
    <col min="3" max="4" width="2.85546875" customWidth="1"/>
    <col min="5" max="5" width="47.5703125" customWidth="1"/>
    <col min="6" max="6" width="9.5703125" customWidth="1"/>
    <col min="7" max="8" width="28.5703125" customWidth="1"/>
  </cols>
  <sheetData>
    <row r="1" spans="1:8" x14ac:dyDescent="0.2">
      <c r="A1" s="28"/>
      <c r="B1" s="29"/>
      <c r="C1" s="29"/>
      <c r="D1" s="29"/>
      <c r="E1" s="29"/>
      <c r="F1" s="29"/>
      <c r="G1" s="29"/>
      <c r="H1" s="29"/>
    </row>
    <row r="2" spans="1:8" ht="15" x14ac:dyDescent="0.25">
      <c r="A2" s="28"/>
      <c r="B2" s="30" t="s">
        <v>68</v>
      </c>
      <c r="C2" s="30"/>
      <c r="D2" s="30"/>
      <c r="E2" s="30"/>
      <c r="F2" s="30" t="s">
        <v>69</v>
      </c>
      <c r="G2" s="30"/>
      <c r="H2" s="30"/>
    </row>
    <row r="3" spans="1:8" ht="15" x14ac:dyDescent="0.25">
      <c r="A3" s="28"/>
      <c r="B3" s="30" t="s">
        <v>70</v>
      </c>
      <c r="C3" s="30"/>
      <c r="D3" s="30"/>
      <c r="E3" s="30"/>
      <c r="F3" s="30" t="s">
        <v>71</v>
      </c>
      <c r="G3" s="30"/>
      <c r="H3" s="30"/>
    </row>
    <row r="4" spans="1:8" x14ac:dyDescent="0.2">
      <c r="A4" s="29"/>
      <c r="B4" s="29"/>
      <c r="C4" s="29"/>
      <c r="D4" s="29"/>
      <c r="E4" s="29"/>
      <c r="F4" s="29"/>
      <c r="G4" s="29"/>
      <c r="H4" s="29"/>
    </row>
    <row r="5" spans="1:8" ht="15" x14ac:dyDescent="0.25">
      <c r="A5" s="28"/>
      <c r="B5" s="30" t="s">
        <v>72</v>
      </c>
      <c r="C5" s="30"/>
      <c r="D5" s="30"/>
      <c r="E5" s="30"/>
      <c r="F5" s="30"/>
      <c r="G5" s="30"/>
      <c r="H5" s="30"/>
    </row>
    <row r="6" spans="1:8" x14ac:dyDescent="0.2">
      <c r="A6" s="29"/>
      <c r="B6" s="29"/>
      <c r="C6" s="29"/>
      <c r="D6" s="29"/>
      <c r="E6" s="29"/>
      <c r="F6" s="29"/>
      <c r="G6" s="29"/>
      <c r="H6" s="29"/>
    </row>
    <row r="7" spans="1:8" x14ac:dyDescent="0.2">
      <c r="A7" s="28"/>
      <c r="B7" s="31" t="s">
        <v>73</v>
      </c>
      <c r="C7" s="32"/>
      <c r="D7" s="32"/>
      <c r="E7" s="32" t="s">
        <v>74</v>
      </c>
      <c r="F7" s="32" t="s">
        <v>75</v>
      </c>
      <c r="G7" s="33" t="s">
        <v>76</v>
      </c>
      <c r="H7" s="34" t="s">
        <v>77</v>
      </c>
    </row>
    <row r="8" spans="1:8" x14ac:dyDescent="0.2">
      <c r="A8" s="28"/>
      <c r="B8" s="35">
        <v>42701</v>
      </c>
      <c r="C8" s="36"/>
      <c r="D8" s="36"/>
      <c r="E8" s="36" t="s">
        <v>78</v>
      </c>
      <c r="F8" s="36"/>
      <c r="G8" s="37"/>
      <c r="H8" s="38">
        <v>455.75</v>
      </c>
    </row>
    <row r="9" spans="1:8" x14ac:dyDescent="0.2">
      <c r="A9" s="28"/>
      <c r="B9" s="39">
        <v>42706</v>
      </c>
      <c r="C9" s="40"/>
      <c r="D9" s="40"/>
      <c r="E9" s="40" t="s">
        <v>79</v>
      </c>
      <c r="F9" s="40" t="s">
        <v>80</v>
      </c>
      <c r="G9" s="41">
        <v>-8000</v>
      </c>
      <c r="H9" s="41"/>
    </row>
    <row r="10" spans="1:8" x14ac:dyDescent="0.2">
      <c r="A10" s="28"/>
      <c r="B10" s="35">
        <v>42706</v>
      </c>
      <c r="C10" s="36" t="s">
        <v>81</v>
      </c>
      <c r="D10" s="36"/>
      <c r="E10" s="36" t="s">
        <v>82</v>
      </c>
      <c r="F10" s="36"/>
      <c r="G10" s="42">
        <v>-600</v>
      </c>
      <c r="H10" s="42"/>
    </row>
    <row r="11" spans="1:8" x14ac:dyDescent="0.2">
      <c r="A11" s="28"/>
      <c r="B11" s="39">
        <v>42706</v>
      </c>
      <c r="C11" s="40"/>
      <c r="D11" s="40"/>
      <c r="E11" s="40" t="s">
        <v>83</v>
      </c>
      <c r="F11" s="40" t="s">
        <v>80</v>
      </c>
      <c r="G11" s="43">
        <v>8500</v>
      </c>
      <c r="H11" s="43"/>
    </row>
    <row r="12" spans="1:8" x14ac:dyDescent="0.2">
      <c r="A12" s="28"/>
      <c r="B12" s="35">
        <v>42706</v>
      </c>
      <c r="C12" s="36"/>
      <c r="D12" s="36"/>
      <c r="E12" s="36" t="s">
        <v>84</v>
      </c>
      <c r="F12" s="36" t="s">
        <v>85</v>
      </c>
      <c r="G12" s="42">
        <v>-113.94</v>
      </c>
      <c r="H12" s="42"/>
    </row>
    <row r="13" spans="1:8" x14ac:dyDescent="0.2">
      <c r="A13" s="28"/>
      <c r="B13" s="39">
        <v>42706</v>
      </c>
      <c r="C13" s="40"/>
      <c r="D13" s="40"/>
      <c r="E13" s="40" t="s">
        <v>86</v>
      </c>
      <c r="F13" s="40"/>
      <c r="G13" s="43"/>
      <c r="H13" s="43">
        <v>241.81</v>
      </c>
    </row>
    <row r="14" spans="1:8" x14ac:dyDescent="0.2">
      <c r="A14" s="28"/>
      <c r="B14" s="35">
        <v>42708</v>
      </c>
      <c r="C14" s="36"/>
      <c r="D14" s="36"/>
      <c r="E14" s="36" t="s">
        <v>87</v>
      </c>
      <c r="F14" s="36" t="s">
        <v>80</v>
      </c>
      <c r="G14" s="42">
        <v>-5430</v>
      </c>
      <c r="H14" s="42"/>
    </row>
    <row r="15" spans="1:8" x14ac:dyDescent="0.2">
      <c r="A15" s="28"/>
      <c r="B15" s="39">
        <v>42708</v>
      </c>
      <c r="C15" s="40"/>
      <c r="D15" s="40"/>
      <c r="E15" s="40" t="s">
        <v>83</v>
      </c>
      <c r="F15" s="40" t="s">
        <v>80</v>
      </c>
      <c r="G15" s="43">
        <v>1100</v>
      </c>
      <c r="H15" s="43"/>
    </row>
    <row r="16" spans="1:8" x14ac:dyDescent="0.2">
      <c r="A16" s="28"/>
      <c r="B16" s="35">
        <v>42708</v>
      </c>
      <c r="C16" s="36"/>
      <c r="D16" s="36"/>
      <c r="E16" s="36" t="s">
        <v>83</v>
      </c>
      <c r="F16" s="36" t="s">
        <v>80</v>
      </c>
      <c r="G16" s="37">
        <v>5000</v>
      </c>
      <c r="H16" s="37"/>
    </row>
    <row r="17" spans="1:8" x14ac:dyDescent="0.2">
      <c r="A17" s="28"/>
      <c r="B17" s="39">
        <v>42708</v>
      </c>
      <c r="C17" s="40"/>
      <c r="D17" s="40"/>
      <c r="E17" s="40" t="s">
        <v>86</v>
      </c>
      <c r="F17" s="40"/>
      <c r="G17" s="43"/>
      <c r="H17" s="43">
        <v>911.81</v>
      </c>
    </row>
    <row r="18" spans="1:8" x14ac:dyDescent="0.2">
      <c r="A18" s="28"/>
      <c r="B18" s="35">
        <v>42711</v>
      </c>
      <c r="C18" s="36"/>
      <c r="D18" s="36"/>
      <c r="E18" s="36" t="s">
        <v>88</v>
      </c>
      <c r="F18" s="36" t="s">
        <v>80</v>
      </c>
      <c r="G18" s="42">
        <v>-1830</v>
      </c>
      <c r="H18" s="42"/>
    </row>
    <row r="19" spans="1:8" x14ac:dyDescent="0.2">
      <c r="A19" s="28"/>
      <c r="B19" s="39">
        <v>42711</v>
      </c>
      <c r="C19" s="40"/>
      <c r="D19" s="40"/>
      <c r="E19" s="40" t="s">
        <v>87</v>
      </c>
      <c r="F19" s="40" t="s">
        <v>80</v>
      </c>
      <c r="G19" s="41">
        <v>-3580</v>
      </c>
      <c r="H19" s="41"/>
    </row>
    <row r="20" spans="1:8" x14ac:dyDescent="0.2">
      <c r="A20" s="28"/>
      <c r="B20" s="35">
        <v>42711</v>
      </c>
      <c r="C20" s="36"/>
      <c r="D20" s="36"/>
      <c r="E20" s="36" t="s">
        <v>89</v>
      </c>
      <c r="F20" s="36" t="s">
        <v>80</v>
      </c>
      <c r="G20" s="42">
        <v>-150</v>
      </c>
      <c r="H20" s="42"/>
    </row>
    <row r="21" spans="1:8" x14ac:dyDescent="0.2">
      <c r="A21" s="28"/>
      <c r="B21" s="39">
        <v>42711</v>
      </c>
      <c r="C21" s="40" t="s">
        <v>81</v>
      </c>
      <c r="D21" s="40"/>
      <c r="E21" s="40" t="s">
        <v>90</v>
      </c>
      <c r="F21" s="40" t="s">
        <v>80</v>
      </c>
      <c r="G21" s="41">
        <v>-210</v>
      </c>
      <c r="H21" s="41"/>
    </row>
    <row r="22" spans="1:8" x14ac:dyDescent="0.2">
      <c r="A22" s="28"/>
      <c r="B22" s="35">
        <v>42711</v>
      </c>
      <c r="C22" s="36"/>
      <c r="D22" s="36"/>
      <c r="E22" s="36" t="s">
        <v>83</v>
      </c>
      <c r="F22" s="36" t="s">
        <v>80</v>
      </c>
      <c r="G22" s="37">
        <v>2000</v>
      </c>
      <c r="H22" s="37"/>
    </row>
    <row r="23" spans="1:8" x14ac:dyDescent="0.2">
      <c r="A23" s="28"/>
      <c r="B23" s="39">
        <v>42711</v>
      </c>
      <c r="C23" s="40"/>
      <c r="D23" s="40"/>
      <c r="E23" s="40" t="s">
        <v>83</v>
      </c>
      <c r="F23" s="40" t="s">
        <v>80</v>
      </c>
      <c r="G23" s="43">
        <v>3000</v>
      </c>
      <c r="H23" s="43"/>
    </row>
    <row r="24" spans="1:8" x14ac:dyDescent="0.2">
      <c r="A24" s="28"/>
      <c r="B24" s="35">
        <v>42711</v>
      </c>
      <c r="C24" s="36"/>
      <c r="D24" s="36"/>
      <c r="E24" s="36" t="s">
        <v>86</v>
      </c>
      <c r="F24" s="36"/>
      <c r="G24" s="37"/>
      <c r="H24" s="37">
        <v>141.81</v>
      </c>
    </row>
    <row r="25" spans="1:8" x14ac:dyDescent="0.2">
      <c r="A25" s="28"/>
      <c r="B25" s="39">
        <v>42714</v>
      </c>
      <c r="C25" s="40" t="s">
        <v>81</v>
      </c>
      <c r="D25" s="40"/>
      <c r="E25" s="40" t="s">
        <v>91</v>
      </c>
      <c r="F25" s="40"/>
      <c r="G25" s="41">
        <v>-3110</v>
      </c>
      <c r="H25" s="41"/>
    </row>
    <row r="26" spans="1:8" x14ac:dyDescent="0.2">
      <c r="A26" s="28"/>
      <c r="B26" s="35">
        <v>42714</v>
      </c>
      <c r="C26" s="36"/>
      <c r="D26" s="36"/>
      <c r="E26" s="36" t="s">
        <v>92</v>
      </c>
      <c r="F26" s="36" t="s">
        <v>80</v>
      </c>
      <c r="G26" s="42">
        <v>-896</v>
      </c>
      <c r="H26" s="42"/>
    </row>
    <row r="27" spans="1:8" x14ac:dyDescent="0.2">
      <c r="A27" s="28"/>
      <c r="B27" s="39">
        <v>42714</v>
      </c>
      <c r="C27" s="40"/>
      <c r="D27" s="40"/>
      <c r="E27" s="40" t="s">
        <v>83</v>
      </c>
      <c r="F27" s="40" t="s">
        <v>80</v>
      </c>
      <c r="G27" s="43">
        <v>1000</v>
      </c>
      <c r="H27" s="43"/>
    </row>
    <row r="28" spans="1:8" x14ac:dyDescent="0.2">
      <c r="A28" s="28"/>
      <c r="B28" s="35">
        <v>42714</v>
      </c>
      <c r="C28" s="36"/>
      <c r="D28" s="36"/>
      <c r="E28" s="36" t="s">
        <v>83</v>
      </c>
      <c r="F28" s="36" t="s">
        <v>80</v>
      </c>
      <c r="G28" s="37">
        <v>3050</v>
      </c>
      <c r="H28" s="37"/>
    </row>
    <row r="29" spans="1:8" x14ac:dyDescent="0.2">
      <c r="A29" s="28"/>
      <c r="B29" s="39">
        <v>42714</v>
      </c>
      <c r="C29" s="40"/>
      <c r="D29" s="40"/>
      <c r="E29" s="40" t="s">
        <v>86</v>
      </c>
      <c r="F29" s="40"/>
      <c r="G29" s="43"/>
      <c r="H29" s="43">
        <v>185.81</v>
      </c>
    </row>
    <row r="30" spans="1:8" x14ac:dyDescent="0.2">
      <c r="A30" s="28"/>
      <c r="B30" s="35">
        <v>42722</v>
      </c>
      <c r="C30" s="36"/>
      <c r="D30" s="36"/>
      <c r="E30" s="36" t="s">
        <v>79</v>
      </c>
      <c r="F30" s="36" t="s">
        <v>80</v>
      </c>
      <c r="G30" s="42">
        <v>-3000</v>
      </c>
      <c r="H30" s="42"/>
    </row>
    <row r="31" spans="1:8" x14ac:dyDescent="0.2">
      <c r="A31" s="28"/>
      <c r="B31" s="39">
        <v>42722</v>
      </c>
      <c r="C31" s="40" t="s">
        <v>81</v>
      </c>
      <c r="D31" s="40"/>
      <c r="E31" s="40" t="s">
        <v>90</v>
      </c>
      <c r="F31" s="40" t="s">
        <v>80</v>
      </c>
      <c r="G31" s="41">
        <v>-420</v>
      </c>
      <c r="H31" s="41"/>
    </row>
    <row r="32" spans="1:8" x14ac:dyDescent="0.2">
      <c r="A32" s="28"/>
      <c r="B32" s="35">
        <v>42722</v>
      </c>
      <c r="C32" s="36"/>
      <c r="D32" s="36"/>
      <c r="E32" s="36" t="s">
        <v>83</v>
      </c>
      <c r="F32" s="36" t="s">
        <v>80</v>
      </c>
      <c r="G32" s="37">
        <v>3400</v>
      </c>
      <c r="H32" s="37"/>
    </row>
    <row r="33" spans="1:9" x14ac:dyDescent="0.2">
      <c r="A33" s="28"/>
      <c r="B33" s="39">
        <v>42722</v>
      </c>
      <c r="C33" s="40"/>
      <c r="D33" s="40"/>
      <c r="E33" s="40" t="s">
        <v>86</v>
      </c>
      <c r="F33" s="40"/>
      <c r="G33" s="43"/>
      <c r="H33" s="43">
        <v>165.81</v>
      </c>
    </row>
    <row r="34" spans="1:9" x14ac:dyDescent="0.2">
      <c r="A34" s="28"/>
      <c r="B34" s="35">
        <v>42725</v>
      </c>
      <c r="C34" s="36"/>
      <c r="D34" s="36"/>
      <c r="E34" s="36" t="s">
        <v>93</v>
      </c>
      <c r="F34" s="36" t="s">
        <v>80</v>
      </c>
      <c r="G34" s="37">
        <v>100.03</v>
      </c>
      <c r="H34" s="37"/>
    </row>
    <row r="35" spans="1:9" x14ac:dyDescent="0.2">
      <c r="A35" s="28"/>
      <c r="B35" s="39">
        <v>42725</v>
      </c>
      <c r="C35" s="40"/>
      <c r="D35" s="40"/>
      <c r="E35" s="40" t="s">
        <v>86</v>
      </c>
      <c r="F35" s="40"/>
      <c r="G35" s="43"/>
      <c r="H35" s="43">
        <v>265.83999999999997</v>
      </c>
    </row>
    <row r="36" spans="1:9" x14ac:dyDescent="0.2">
      <c r="A36" s="28"/>
      <c r="B36" s="35">
        <v>42728</v>
      </c>
      <c r="C36" s="36"/>
      <c r="D36" s="36"/>
      <c r="E36" s="36" t="s">
        <v>94</v>
      </c>
      <c r="F36" s="36" t="s">
        <v>80</v>
      </c>
      <c r="G36" s="37">
        <v>1150</v>
      </c>
      <c r="H36" s="37"/>
    </row>
    <row r="37" spans="1:9" x14ac:dyDescent="0.2">
      <c r="A37" s="28"/>
      <c r="B37" s="39">
        <v>42728</v>
      </c>
      <c r="C37" s="40"/>
      <c r="D37" s="40"/>
      <c r="E37" s="40" t="s">
        <v>86</v>
      </c>
      <c r="F37" s="40"/>
      <c r="G37" s="43"/>
      <c r="H37" s="44">
        <v>1415.84</v>
      </c>
    </row>
    <row r="38" spans="1:9" x14ac:dyDescent="0.2">
      <c r="G38" t="s">
        <v>95</v>
      </c>
      <c r="H38">
        <v>613.69000000000005</v>
      </c>
    </row>
    <row r="39" spans="1:9" ht="15" x14ac:dyDescent="0.2">
      <c r="H39" s="45">
        <f>+H38+H37</f>
        <v>2029.53</v>
      </c>
      <c r="I39" t="s">
        <v>96</v>
      </c>
    </row>
  </sheetData>
  <mergeCells count="8">
    <mergeCell ref="B5:H5"/>
    <mergeCell ref="A6:H6"/>
    <mergeCell ref="B1:H1"/>
    <mergeCell ref="B2:E2"/>
    <mergeCell ref="F2:H2"/>
    <mergeCell ref="B3:E3"/>
    <mergeCell ref="F3:H3"/>
    <mergeCell ref="A4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Posiçãofinanceira</vt:lpstr>
      <vt:lpstr>Balanço</vt:lpstr>
      <vt:lpstr>ExtratoComprovaçaoSaldo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Silmara Miranda</dc:creator>
  <cp:lastModifiedBy>Clayton Nogueira</cp:lastModifiedBy>
  <cp:lastPrinted>2016-01-08T17:33:08Z</cp:lastPrinted>
  <dcterms:created xsi:type="dcterms:W3CDTF">2014-07-29T13:20:44Z</dcterms:created>
  <dcterms:modified xsi:type="dcterms:W3CDTF">2016-01-08T17:50:33Z</dcterms:modified>
</cp:coreProperties>
</file>