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Luiz</author>
  </authors>
  <commentList>
    <comment ref="D8" authorId="0">
      <text>
        <r>
          <rPr>
            <b/>
            <sz val="9"/>
            <rFont val="Tahoma"/>
            <family val="0"/>
          </rPr>
          <t>Luiz: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<sst xmlns="http://schemas.openxmlformats.org/spreadsheetml/2006/main" count="61" uniqueCount="59">
  <si>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 xml:space="preserve"> Saldo anterior</t>
  </si>
  <si>
    <t xml:space="preserve"> Ago/10</t>
  </si>
  <si>
    <t xml:space="preserve"> Set/10</t>
  </si>
  <si>
    <t xml:space="preserve"> Out/10</t>
  </si>
  <si>
    <t xml:space="preserve"> Nov/10</t>
  </si>
  <si>
    <t xml:space="preserve"> Dez/10</t>
  </si>
  <si>
    <t xml:space="preserve"> Patrocínios recebidos</t>
  </si>
  <si>
    <t xml:space="preserve"> Despesas</t>
  </si>
  <si>
    <t xml:space="preserve"> Total Arbitragem</t>
  </si>
  <si>
    <t xml:space="preserve"> Bolas, redes</t>
  </si>
  <si>
    <t xml:space="preserve"> Uniformes</t>
  </si>
  <si>
    <t xml:space="preserve"> Total Material Esportivo</t>
  </si>
  <si>
    <t xml:space="preserve"> Festa Encerramento</t>
  </si>
  <si>
    <t xml:space="preserve"> Restaurante</t>
  </si>
  <si>
    <t xml:space="preserve"> Banda</t>
  </si>
  <si>
    <t xml:space="preserve"> Churrasco da final</t>
  </si>
  <si>
    <t xml:space="preserve"> Filmagem</t>
  </si>
  <si>
    <t xml:space="preserve"> Escritório de Contabilidade </t>
  </si>
  <si>
    <t xml:space="preserve"> Despesas bancárias</t>
  </si>
  <si>
    <t xml:space="preserve"> Total Diversos</t>
  </si>
  <si>
    <t xml:space="preserve"> Saldo Final C/C</t>
  </si>
  <si>
    <t xml:space="preserve"> Tintas Campo</t>
  </si>
  <si>
    <t xml:space="preserve"> Conta Investimento - Itau Plus CP</t>
  </si>
  <si>
    <t xml:space="preserve"> Aplicações</t>
  </si>
  <si>
    <t xml:space="preserve"> Resgates </t>
  </si>
  <si>
    <t xml:space="preserve"> Rendimento Bruto</t>
  </si>
  <si>
    <t xml:space="preserve"> Total disponível AFP (C/C + C/I)</t>
  </si>
  <si>
    <t xml:space="preserve"> Saldo Final C/I</t>
  </si>
  <si>
    <t xml:space="preserve"> Total Receitas</t>
  </si>
  <si>
    <t xml:space="preserve"> Total Despesas</t>
  </si>
  <si>
    <t>Abr</t>
  </si>
  <si>
    <t>Jan</t>
  </si>
  <si>
    <t>Fev</t>
  </si>
  <si>
    <t>Mar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</si>
  <si>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</si>
  <si>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</si>
  <si>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</si>
  <si>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</si>
  <si>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</si>
  <si>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</si>
  <si>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</si>
  <si>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</si>
  <si>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 Reembolsos</t>
  </si>
  <si>
    <t xml:space="preserve"> Outros</t>
  </si>
  <si>
    <t xml:space="preserve"> DIPJ, outros documentos</t>
  </si>
  <si>
    <t xml:space="preserve"> Total Festa e Eventos</t>
  </si>
  <si>
    <t xml:space="preserve"> Trasferências C/C para C/I</t>
  </si>
  <si>
    <t xml:space="preserve"> Trasferências C/I para C/C</t>
  </si>
  <si>
    <t xml:space="preserve"> Site</t>
  </si>
  <si>
    <t xml:space="preserve"> * Documentos (NFs, recibos, etc) estão disponíveis aos interessados.</t>
  </si>
  <si>
    <t xml:space="preserve"> Descrição</t>
  </si>
  <si>
    <t xml:space="preserve"> Lanches, bebidas, gás e outros</t>
  </si>
  <si>
    <t xml:space="preserve"> Inscriçoes recebidas - 2011</t>
  </si>
  <si>
    <t xml:space="preserve"> Inscriçoes recebidas - 2012</t>
  </si>
  <si>
    <t xml:space="preserve"> Arbitragem</t>
  </si>
  <si>
    <t xml:space="preserve"> Massagista, mesário, gandulas</t>
  </si>
  <si>
    <t xml:space="preserve"> Remédios, sprays, etc</t>
  </si>
  <si>
    <t xml:space="preserve"> Total</t>
  </si>
  <si>
    <t xml:space="preserve"> IRRF + IOF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</si>
</sst>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7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17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B44">
      <selection activeCell="K60" sqref="K60:L60"/>
    </sheetView>
  </sheetViews>
  <sheetFormatPr defaultColWidth="9.140625" defaultRowHeight="12.75"/>
  <cols>
    <col min="1" max="1" width="41.421875" style="0" customWidth="1"/>
    <col min="2" max="6" width="10.7109375" style="0" customWidth="1"/>
    <col min="9" max="9" width="9.140625" style="0" customWidth="1"/>
    <col min="14" max="14" width="0.85546875" style="0" customWidth="1"/>
    <col min="15" max="15" width="9.71093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5"/>
    </row>
    <row r="2" spans="1:15" ht="12.75">
      <c r="A2" s="6" t="s">
        <v>50</v>
      </c>
      <c r="B2" s="18" t="s">
        <v>31</v>
      </c>
      <c r="C2" s="18" t="s">
        <v>32</v>
      </c>
      <c r="D2" s="18" t="s">
        <v>33</v>
      </c>
      <c r="E2" s="18" t="s">
        <v>30</v>
      </c>
      <c r="F2" s="19" t="s">
        <v>34</v>
      </c>
      <c r="G2" s="19" t="s">
        <v>35</v>
      </c>
      <c r="H2" s="19" t="s">
        <v>36</v>
      </c>
      <c r="I2" s="19" t="s">
        <v>37</v>
      </c>
      <c r="J2" s="19" t="s">
        <v>38</v>
      </c>
      <c r="K2" s="19" t="s">
        <v>39</v>
      </c>
      <c r="L2" s="19" t="s">
        <v>40</v>
      </c>
      <c r="M2" s="19" t="s">
        <v>41</v>
      </c>
      <c r="N2" s="4"/>
      <c r="O2" s="22" t="s">
        <v>57</v>
      </c>
    </row>
    <row r="3" spans="1:15" ht="12.75">
      <c r="A3" s="14"/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16"/>
      <c r="N3" s="4"/>
      <c r="O3" s="13"/>
    </row>
    <row r="4" spans="1:15" ht="12.75">
      <c r="A4" s="6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4"/>
      <c r="O4" s="5"/>
    </row>
    <row r="5" spans="1:15" ht="12.75">
      <c r="A5" s="6" t="s">
        <v>0</v>
      </c>
      <c r="B5" s="11">
        <v>2554.92</v>
      </c>
      <c r="C5" s="11">
        <f aca="true" t="shared" si="0" ref="C5:H5">B48</f>
        <v>4527.4</v>
      </c>
      <c r="D5" s="11">
        <f t="shared" si="0"/>
        <v>10216.01</v>
      </c>
      <c r="E5" s="11">
        <f t="shared" si="0"/>
        <v>46961.399999999994</v>
      </c>
      <c r="F5" s="11">
        <f t="shared" si="0"/>
        <v>19793.049999999996</v>
      </c>
      <c r="G5" s="11">
        <f t="shared" si="0"/>
        <v>7303.679999999997</v>
      </c>
      <c r="H5" s="11">
        <f t="shared" si="0"/>
        <v>2861.3899999999994</v>
      </c>
      <c r="I5" s="11">
        <f>H48</f>
        <v>2360.6799999999994</v>
      </c>
      <c r="J5" s="11">
        <f>I48</f>
        <v>3651.579999999999</v>
      </c>
      <c r="K5" s="11">
        <f>J48</f>
        <v>2388.3500000000004</v>
      </c>
      <c r="L5" s="11">
        <f>K48</f>
        <v>8153.6700000000055</v>
      </c>
      <c r="M5" s="9"/>
      <c r="N5" s="4"/>
      <c r="O5" s="10">
        <f>B5</f>
        <v>2554.92</v>
      </c>
    </row>
    <row r="6" spans="1:15" ht="12.75">
      <c r="A6" s="9"/>
      <c r="B6" s="10"/>
      <c r="C6" s="10"/>
      <c r="D6" s="10"/>
      <c r="E6" s="10"/>
      <c r="F6" s="10"/>
      <c r="G6" s="9"/>
      <c r="H6" s="10"/>
      <c r="I6" s="10"/>
      <c r="J6" s="10"/>
      <c r="K6" s="9"/>
      <c r="L6" s="10"/>
      <c r="M6" s="9"/>
      <c r="N6" s="4"/>
      <c r="O6" s="9"/>
    </row>
    <row r="7" spans="1:15" ht="12.75">
      <c r="A7" s="9" t="s">
        <v>52</v>
      </c>
      <c r="B7" s="10">
        <f>170+125.06</f>
        <v>295.06</v>
      </c>
      <c r="C7" s="10">
        <f>280+190+330+375.13+170+125+170+125+125.27+125+125+330+160.01+375</f>
        <v>3005.41</v>
      </c>
      <c r="D7" s="10">
        <f>250+415+250+375</f>
        <v>1290</v>
      </c>
      <c r="E7" s="24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9"/>
      <c r="N7" s="4"/>
      <c r="O7" s="10">
        <f>SUM(B7:M7)</f>
        <v>4590.469999999999</v>
      </c>
    </row>
    <row r="8" spans="1:15" ht="12.75">
      <c r="A8" s="9" t="s">
        <v>53</v>
      </c>
      <c r="B8" s="10">
        <v>0</v>
      </c>
      <c r="C8" s="10">
        <v>0</v>
      </c>
      <c r="D8" s="10">
        <f>700.05+200.28+200.28+200.28+251.22+200.32+600.63+201.62+603.39+201.12+602.46+200.1+700.66+603.06+201.33+201.19+200.26+200.15+753.96+600.73+251.47+605.49+200.97+700.34+50.9+200.72+603.21+602.58+600+600.85+201.11+200.54+700.19+201.01+251.97+201.18+601.14+201.48+700+251.41+600.18+260+251.49+251.1+201.93+251.35+200.43+201.69+201.87+200.74+200.59+200.42+600.57+200.24+200.69+251.16+101+200.02+250.71+201.42+130.01+603.2+250.79+201.17+250.27+201.37+201.79+200.39+601.04+700.17+250.68+251.08+201.63+200.99+231.39+251.38+251.46+300.33+201.29+250.75+200.4+100.91+250.78+200.03+201.82+251.23+200.77+251.9+200.51+251.45+200.25+200.92+200.46+251.5+201.92+201.61+201.84+700.64+201.77+201.88+201.28+605.1+201.4+251.09+251.15+250.23+201.8+202+202+201.67+250.3+200.7+250.36+250.58+201.53+201.05+201.25+200.8+201.27+250.38+201.65+201.75+200.94+250.16+200.07+250.13+251.34+201.55+603.72+251.21+251.56+750.29+200.6+250.2+201.64+200.49+151.91+251.74+200.95+251+100.83+200.96+201.81+650+20+70</f>
        <v>42323.45999999999</v>
      </c>
      <c r="E8" s="10">
        <f>201.95+250.81+200.89+201.86+200.65+200.53+601.06+701.31+251.76+200.51+604.08+600.47+251.66+603.09+251.59+200.56+200.89+200.54+250.63+200.22+201.48+201.18+200.24+250.75+251.49+501.13+250.87+200.97+201.33+50.9+200.1+250.3+251.22+200.32+200.25+200.14+201.65+201.44+251.1+250.23+201.82+251.41+200.74+200.42+201.87+250.13+251.74+200.02+250.71+250.45+200.11+200.11+201.17+250.27+200.15+201.79+201.63+200.99+251.43+251.38+251.46+200.4+200.48+201.29+250.78+251.45+200.92+200.46+251.5+201.62+201.88+201.28+201.6+201.4+251.09+251.08+201.55+200.49+200.59+200.5+251.35+201.42+200.6+200.72+251.34+250.16+200.72+251.97+250.38+251.15+602.64+251.51+201.77+201.75+200.94+250.36+201.11+201.05</f>
        <v>24053.249999999996</v>
      </c>
      <c r="F8" s="10">
        <f>101+250.87+100.83+250.84+250.84+200.14+201.01+251.23+201.94+201.94+201.94+201.37+201.53+201+200.26+251.66+201.8+202.12+201.81+201.25+201.93+251.16+251.47+51.96+250.41+200.96+200.53+200.56+602+201.84+250.81+200.31+200.31+200.95+201.63+251.39+251.09+200.39+200.42+100.91+201.1+200.96+201.46+201.8+201.67+250.41+201.18+200.69+200.38+201.86+200+251.35+201.75+200.94+251.15+200.43+250.16+100.83+251.9</f>
        <v>12516.43</v>
      </c>
      <c r="G8" s="10">
        <f>251.76+401.64+201.01+251.21+300.13+200.01+251.49+600.52+150.55+250.2+200.35+600.09+600.62+200.13+200.32+701.78+200.54+200.92+601.54+202+201.71+201.71+201.92+201.92+200.24+250.23+201.82+400+600+200.97+201.74+200.02+200.6+201.17+250.27+200.15+201.79+201.08+251.22+201.43+201.38+200.75+200.78+201.11+200.51+201.45+200.25+200.46+251.5+201.88+201.28+201.65+201.6+201.4+600.61+201.55+201.41+200.59+200.71+201.29+201.05+201.84+251.34+201.27+201.77+201.62+200.48+200.81+200.49+201.33+202+250.79+201.97+602+200.5+101+200.28+200.36+200.03</f>
        <v>20029.890000000003</v>
      </c>
      <c r="H8" s="10">
        <f>201.42+201.9+200.22+251.52+251.52+201.52+201.51+200.31+600.76+51.96+51.96+201.37+233.33+201.81+201.39</f>
        <v>3252.4999999999995</v>
      </c>
      <c r="I8" s="10">
        <f>50.9+201.76+201.67+201.93+200.67+701.26+200.37+233.33+200.01+200.69+201.86</f>
        <v>2594.45</v>
      </c>
      <c r="J8" s="10">
        <f>201.24+201.19+200.53+150.55+200.35+251.56+201.69+305+200.7+201.61+200.65+400.14+201.95+200.67+200.8+200.8+200.37+200.77</f>
        <v>3920.57</v>
      </c>
      <c r="K8" s="10">
        <f>250+201.44+201.44+200.87+201.19+251.21+200.26+200.99+200.89+200.48+201.61+202+100.91+200.11+251.16+201.12+250.41+251.66+200.4+200.56+250.3+150.55+150.55+250.2+201.53+250.79+200.14+251.43+200.35+201.56+201.71+200.39+201.27+200.37+200.77+151.47+200+150.55+200.7+200.67+250.84+200.03+251.23+200+200.1+201.95+201.69+200.43+200.95+200.65+200.74</f>
        <v>10492.620000000004</v>
      </c>
      <c r="L8" s="10">
        <v>0</v>
      </c>
      <c r="M8" s="9"/>
      <c r="N8" s="4"/>
      <c r="O8" s="10">
        <f>SUM(B8:M8)</f>
        <v>119183.17</v>
      </c>
    </row>
    <row r="9" spans="1:15" ht="12.75">
      <c r="A9" s="9" t="s">
        <v>6</v>
      </c>
      <c r="B9" s="10">
        <v>2000</v>
      </c>
      <c r="C9" s="10">
        <f>2007+1000+2000+501+432.01+620.52+1000+1000+1000+1000</f>
        <v>10560.53</v>
      </c>
      <c r="D9" s="10">
        <f>1000+1000+1000+1000+947.47+2000.05+501.13+2000</f>
        <v>9448.650000000001</v>
      </c>
      <c r="E9" s="10">
        <v>0</v>
      </c>
      <c r="F9" s="10">
        <v>0</v>
      </c>
      <c r="G9" s="10">
        <v>0</v>
      </c>
      <c r="H9" s="10">
        <v>0</v>
      </c>
      <c r="I9" s="10">
        <v>2000</v>
      </c>
      <c r="J9" s="10">
        <v>0</v>
      </c>
      <c r="K9" s="10">
        <v>2000</v>
      </c>
      <c r="L9" s="10">
        <v>0</v>
      </c>
      <c r="M9" s="9"/>
      <c r="N9" s="4"/>
      <c r="O9" s="10">
        <f>SUM(B9:M9)</f>
        <v>26009.18</v>
      </c>
    </row>
    <row r="10" spans="1:15" ht="12.75">
      <c r="A10" s="9" t="s">
        <v>42</v>
      </c>
      <c r="B10" s="10">
        <v>481</v>
      </c>
      <c r="C10" s="10">
        <v>481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9"/>
      <c r="N10" s="4"/>
      <c r="O10" s="10">
        <f>SUM(B10:M10)</f>
        <v>962</v>
      </c>
    </row>
    <row r="11" spans="1:15" ht="12.75">
      <c r="A11" s="9" t="s">
        <v>43</v>
      </c>
      <c r="B11" s="10">
        <v>0</v>
      </c>
      <c r="C11" s="10">
        <v>0</v>
      </c>
      <c r="D11" s="10">
        <v>272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"/>
      <c r="N11" s="4"/>
      <c r="O11" s="10">
        <f>SUM(B11:M11)</f>
        <v>272</v>
      </c>
    </row>
    <row r="12" spans="1:15" ht="12.75">
      <c r="A12" s="12" t="s">
        <v>28</v>
      </c>
      <c r="B12" s="10">
        <f aca="true" t="shared" si="1" ref="B12:L12">SUM(B7:B11)</f>
        <v>2776.06</v>
      </c>
      <c r="C12" s="10">
        <f t="shared" si="1"/>
        <v>14046.94</v>
      </c>
      <c r="D12" s="10">
        <f t="shared" si="1"/>
        <v>53334.10999999999</v>
      </c>
      <c r="E12" s="10">
        <f t="shared" si="1"/>
        <v>24053.249999999996</v>
      </c>
      <c r="F12" s="10">
        <f t="shared" si="1"/>
        <v>12516.43</v>
      </c>
      <c r="G12" s="10">
        <f t="shared" si="1"/>
        <v>20029.890000000003</v>
      </c>
      <c r="H12" s="10">
        <f t="shared" si="1"/>
        <v>3252.4999999999995</v>
      </c>
      <c r="I12" s="10">
        <f t="shared" si="1"/>
        <v>4594.45</v>
      </c>
      <c r="J12" s="10">
        <f t="shared" si="1"/>
        <v>3920.57</v>
      </c>
      <c r="K12" s="10">
        <f t="shared" si="1"/>
        <v>12492.620000000004</v>
      </c>
      <c r="L12" s="10">
        <f t="shared" si="1"/>
        <v>0</v>
      </c>
      <c r="M12" s="9"/>
      <c r="N12" s="4"/>
      <c r="O12" s="10">
        <f>O7+O8+O9+O10+O11</f>
        <v>151016.82</v>
      </c>
    </row>
    <row r="13" spans="1:15" ht="12.75">
      <c r="A13" s="9"/>
      <c r="B13" s="10"/>
      <c r="C13" s="10"/>
      <c r="D13" s="10"/>
      <c r="E13" s="10"/>
      <c r="F13" s="10"/>
      <c r="G13" s="9"/>
      <c r="H13" s="10"/>
      <c r="I13" s="9"/>
      <c r="J13" s="10"/>
      <c r="K13" s="10"/>
      <c r="L13" s="10"/>
      <c r="M13" s="9"/>
      <c r="N13" s="4"/>
      <c r="O13" s="9"/>
    </row>
    <row r="14" spans="1:15" ht="12.75">
      <c r="A14" s="12" t="s">
        <v>7</v>
      </c>
      <c r="B14" s="10"/>
      <c r="C14" s="10"/>
      <c r="D14" s="10"/>
      <c r="E14" s="10"/>
      <c r="F14" s="10"/>
      <c r="G14" s="9"/>
      <c r="H14" s="10"/>
      <c r="I14" s="9"/>
      <c r="J14" s="10"/>
      <c r="K14" s="10"/>
      <c r="L14" s="10"/>
      <c r="M14" s="9"/>
      <c r="N14" s="4"/>
      <c r="O14" s="9"/>
    </row>
    <row r="15" spans="1:15" ht="12.75">
      <c r="A15" s="9"/>
      <c r="B15" s="10"/>
      <c r="C15" s="10"/>
      <c r="D15" s="10"/>
      <c r="E15" s="10"/>
      <c r="F15" s="10"/>
      <c r="G15" s="9"/>
      <c r="H15" s="10"/>
      <c r="I15" s="9"/>
      <c r="J15" s="10"/>
      <c r="K15" s="10"/>
      <c r="L15" s="10"/>
      <c r="M15" s="9"/>
      <c r="N15" s="4"/>
      <c r="O15" s="9"/>
    </row>
    <row r="16" spans="1:15" ht="12.75">
      <c r="A16" s="9" t="s">
        <v>54</v>
      </c>
      <c r="B16" s="10">
        <v>0</v>
      </c>
      <c r="C16" s="10">
        <v>0</v>
      </c>
      <c r="D16" s="10">
        <v>0</v>
      </c>
      <c r="E16" s="10">
        <f>1800+2500</f>
        <v>4300</v>
      </c>
      <c r="F16" s="10">
        <f>800+900</f>
        <v>1700</v>
      </c>
      <c r="G16" s="10">
        <f>1980+800</f>
        <v>2780</v>
      </c>
      <c r="H16" s="10">
        <f>1760+1600</f>
        <v>3360</v>
      </c>
      <c r="I16" s="10">
        <v>800</v>
      </c>
      <c r="J16" s="10">
        <v>3600</v>
      </c>
      <c r="K16" s="10">
        <v>3600</v>
      </c>
      <c r="L16" s="10">
        <v>3000</v>
      </c>
      <c r="M16" s="9"/>
      <c r="N16" s="4"/>
      <c r="O16" s="10">
        <f>SUM(B16:M16)</f>
        <v>23140</v>
      </c>
    </row>
    <row r="17" spans="1:15" ht="12.75">
      <c r="A17" s="9" t="s">
        <v>55</v>
      </c>
      <c r="B17" s="10">
        <v>0</v>
      </c>
      <c r="C17" s="10">
        <v>0</v>
      </c>
      <c r="D17" s="10">
        <f>70+120+70+70+120</f>
        <v>450</v>
      </c>
      <c r="E17" s="10">
        <f>770+560</f>
        <v>1330</v>
      </c>
      <c r="F17" s="10">
        <f>210+110+70+560+570+200+500</f>
        <v>2220</v>
      </c>
      <c r="G17" s="10">
        <f>70+140+1195+1240+70</f>
        <v>2715</v>
      </c>
      <c r="H17" s="10">
        <f>3860+70</f>
        <v>3930</v>
      </c>
      <c r="I17" s="10">
        <f>120+190+650+70</f>
        <v>1030</v>
      </c>
      <c r="J17" s="10">
        <f>220+120+500+1500</f>
        <v>2340</v>
      </c>
      <c r="K17" s="10">
        <f>70+1180+240+2000+70+380+80</f>
        <v>4020</v>
      </c>
      <c r="L17" s="10">
        <f>1380+70+70</f>
        <v>1520</v>
      </c>
      <c r="M17" s="9"/>
      <c r="N17" s="4"/>
      <c r="O17" s="10">
        <f>SUM(B17:M17)</f>
        <v>19555</v>
      </c>
    </row>
    <row r="18" spans="1:15" ht="12.75">
      <c r="A18" s="12" t="s">
        <v>8</v>
      </c>
      <c r="B18" s="10">
        <f>B16</f>
        <v>0</v>
      </c>
      <c r="C18" s="10">
        <f>C16</f>
        <v>0</v>
      </c>
      <c r="D18" s="10">
        <f aca="true" t="shared" si="2" ref="D18:L18">D16+D17</f>
        <v>450</v>
      </c>
      <c r="E18" s="10">
        <f t="shared" si="2"/>
        <v>5630</v>
      </c>
      <c r="F18" s="10">
        <f t="shared" si="2"/>
        <v>3920</v>
      </c>
      <c r="G18" s="10">
        <f t="shared" si="2"/>
        <v>5495</v>
      </c>
      <c r="H18" s="10">
        <f t="shared" si="2"/>
        <v>7290</v>
      </c>
      <c r="I18" s="10">
        <f t="shared" si="2"/>
        <v>1830</v>
      </c>
      <c r="J18" s="10">
        <f t="shared" si="2"/>
        <v>5940</v>
      </c>
      <c r="K18" s="10">
        <f t="shared" si="2"/>
        <v>7620</v>
      </c>
      <c r="L18" s="10">
        <f t="shared" si="2"/>
        <v>4520</v>
      </c>
      <c r="M18" s="9"/>
      <c r="N18" s="4"/>
      <c r="O18" s="10">
        <f>O16+O17</f>
        <v>42695</v>
      </c>
    </row>
    <row r="19" spans="1:15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9"/>
      <c r="N19" s="4"/>
      <c r="O19" s="10"/>
    </row>
    <row r="20" spans="1:15" ht="12.75">
      <c r="A20" s="12" t="s">
        <v>51</v>
      </c>
      <c r="B20" s="10">
        <v>0</v>
      </c>
      <c r="C20" s="10">
        <v>0</v>
      </c>
      <c r="D20" s="20">
        <f>3994.36+622+625</f>
        <v>5241.360000000001</v>
      </c>
      <c r="E20" s="10">
        <f>2700+622+200</f>
        <v>3522</v>
      </c>
      <c r="F20" s="10">
        <f>2800+622+440+128</f>
        <v>3990</v>
      </c>
      <c r="G20" s="10">
        <f>1120+500</f>
        <v>1620</v>
      </c>
      <c r="H20" s="10">
        <v>0</v>
      </c>
      <c r="I20" s="10">
        <f>2500+622</f>
        <v>3122</v>
      </c>
      <c r="J20" s="10">
        <v>2570</v>
      </c>
      <c r="K20" s="10">
        <f>622+620+2500</f>
        <v>3742</v>
      </c>
      <c r="L20" s="10">
        <v>100</v>
      </c>
      <c r="M20" s="9"/>
      <c r="N20" s="4"/>
      <c r="O20" s="10">
        <f>SUM(B20:M20)</f>
        <v>23907.36</v>
      </c>
    </row>
    <row r="21" spans="1:15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  <c r="N21" s="4"/>
      <c r="O21" s="10"/>
    </row>
    <row r="22" spans="1:15" ht="12.75">
      <c r="A22" s="9" t="s">
        <v>10</v>
      </c>
      <c r="B22" s="10">
        <v>0</v>
      </c>
      <c r="C22" s="10">
        <v>7810</v>
      </c>
      <c r="D22" s="10">
        <v>7810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9"/>
      <c r="N22" s="4"/>
      <c r="O22" s="10">
        <f>SUM(B22:M22)</f>
        <v>15620</v>
      </c>
    </row>
    <row r="23" spans="1:15" ht="12.75">
      <c r="A23" s="9" t="s">
        <v>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9"/>
      <c r="N23" s="4"/>
      <c r="O23" s="10">
        <f>SUM(B23:M23)</f>
        <v>0</v>
      </c>
    </row>
    <row r="24" spans="1:15" ht="12.75">
      <c r="A24" s="9" t="s">
        <v>21</v>
      </c>
      <c r="B24" s="10">
        <v>0</v>
      </c>
      <c r="C24" s="10">
        <v>0</v>
      </c>
      <c r="D24" s="10">
        <f>880+78.49+100</f>
        <v>1058.49</v>
      </c>
      <c r="E24" s="10">
        <f>400</f>
        <v>400</v>
      </c>
      <c r="F24" s="10">
        <v>225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130</v>
      </c>
      <c r="M24" s="9"/>
      <c r="N24" s="4"/>
      <c r="O24" s="10">
        <f>SUM(B24:M24)</f>
        <v>1813.49</v>
      </c>
    </row>
    <row r="25" spans="1:15" ht="12.75">
      <c r="A25" s="12" t="s">
        <v>11</v>
      </c>
      <c r="B25" s="10">
        <f aca="true" t="shared" si="3" ref="B25:J25">SUM(B22:B24)</f>
        <v>0</v>
      </c>
      <c r="C25" s="10">
        <f t="shared" si="3"/>
        <v>7810</v>
      </c>
      <c r="D25" s="10">
        <f t="shared" si="3"/>
        <v>8868.49</v>
      </c>
      <c r="E25" s="10">
        <f t="shared" si="3"/>
        <v>400</v>
      </c>
      <c r="F25" s="10">
        <f t="shared" si="3"/>
        <v>225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>SUM(K22:K24)</f>
        <v>0</v>
      </c>
      <c r="L25" s="10">
        <f>SUM(L22:L24)</f>
        <v>130</v>
      </c>
      <c r="M25" s="9"/>
      <c r="N25" s="4"/>
      <c r="O25" s="10">
        <f>O22+O23+O24</f>
        <v>17433.49</v>
      </c>
    </row>
    <row r="26" spans="1:15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"/>
      <c r="N26" s="4"/>
      <c r="O26" s="10"/>
    </row>
    <row r="27" spans="1:15" ht="12.75">
      <c r="A27" s="9" t="s">
        <v>12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9"/>
      <c r="N27" s="4"/>
      <c r="O27" s="10">
        <f aca="true" t="shared" si="4" ref="O27:O32">SUM(B27:M27)</f>
        <v>0</v>
      </c>
    </row>
    <row r="28" spans="1:15" ht="12.75">
      <c r="A28" s="9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9"/>
      <c r="N28" s="4"/>
      <c r="O28" s="10">
        <f t="shared" si="4"/>
        <v>0</v>
      </c>
    </row>
    <row r="29" spans="1:15" ht="12.75">
      <c r="A29" s="9" t="s">
        <v>14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9"/>
      <c r="N29" s="4"/>
      <c r="O29" s="10">
        <f t="shared" si="4"/>
        <v>0</v>
      </c>
    </row>
    <row r="30" spans="1:15" ht="12.75">
      <c r="A30" s="9" t="s">
        <v>15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/>
      <c r="N30" s="4"/>
      <c r="O30" s="10">
        <f t="shared" si="4"/>
        <v>0</v>
      </c>
    </row>
    <row r="31" spans="1:15" ht="12.75">
      <c r="A31" s="9" t="s">
        <v>16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9"/>
      <c r="N31" s="4"/>
      <c r="O31" s="10">
        <f t="shared" si="4"/>
        <v>0</v>
      </c>
    </row>
    <row r="32" spans="1:15" ht="12.75">
      <c r="A32" s="21" t="s">
        <v>43</v>
      </c>
      <c r="B32" s="10">
        <v>0</v>
      </c>
      <c r="C32" s="10">
        <v>0</v>
      </c>
      <c r="D32" s="10">
        <f>617.7+390</f>
        <v>1007.7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9"/>
      <c r="N32" s="4"/>
      <c r="O32" s="10">
        <f t="shared" si="4"/>
        <v>1007.7</v>
      </c>
    </row>
    <row r="33" spans="1:15" ht="12.75">
      <c r="A33" s="12" t="s">
        <v>45</v>
      </c>
      <c r="B33" s="10">
        <f aca="true" t="shared" si="5" ref="B33:I33">SUM(B27:B32)</f>
        <v>0</v>
      </c>
      <c r="C33" s="10">
        <f t="shared" si="5"/>
        <v>0</v>
      </c>
      <c r="D33" s="10">
        <f t="shared" si="5"/>
        <v>1007.7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v>0</v>
      </c>
      <c r="K33" s="10">
        <v>0</v>
      </c>
      <c r="L33" s="10">
        <v>0</v>
      </c>
      <c r="M33" s="9"/>
      <c r="N33" s="4"/>
      <c r="O33" s="10">
        <f>O27+O28+O29+O30+O31+O32</f>
        <v>1007.7</v>
      </c>
    </row>
    <row r="34" spans="1:15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9"/>
      <c r="N34" s="4"/>
      <c r="O34" s="10"/>
    </row>
    <row r="35" spans="1:15" ht="12.75">
      <c r="A35" s="9" t="s">
        <v>56</v>
      </c>
      <c r="B35" s="10">
        <v>0</v>
      </c>
      <c r="C35" s="20">
        <v>0</v>
      </c>
      <c r="D35" s="20">
        <v>0</v>
      </c>
      <c r="E35" s="20">
        <v>1140</v>
      </c>
      <c r="F35" s="20">
        <f>960+520</f>
        <v>1480</v>
      </c>
      <c r="G35" s="20">
        <v>0</v>
      </c>
      <c r="H35" s="20">
        <v>0</v>
      </c>
      <c r="I35" s="20">
        <v>0</v>
      </c>
      <c r="J35" s="10">
        <v>0</v>
      </c>
      <c r="K35" s="10">
        <v>0</v>
      </c>
      <c r="L35" s="10">
        <v>0</v>
      </c>
      <c r="M35" s="9"/>
      <c r="N35" s="4"/>
      <c r="O35" s="10">
        <f>SUM(B35:M35)</f>
        <v>2620</v>
      </c>
    </row>
    <row r="36" spans="1:15" ht="12.75">
      <c r="A36" s="9" t="s">
        <v>17</v>
      </c>
      <c r="B36" s="10">
        <f>290+290</f>
        <v>580</v>
      </c>
      <c r="C36" s="20">
        <v>332.5</v>
      </c>
      <c r="D36" s="10">
        <v>332.5</v>
      </c>
      <c r="E36" s="10">
        <v>332.5</v>
      </c>
      <c r="F36" s="10">
        <v>360.5</v>
      </c>
      <c r="G36" s="20">
        <v>332.5</v>
      </c>
      <c r="H36" s="20">
        <v>332.5</v>
      </c>
      <c r="I36" s="9">
        <v>332.5</v>
      </c>
      <c r="J36" s="10">
        <v>332.5</v>
      </c>
      <c r="K36" s="10">
        <v>332.5</v>
      </c>
      <c r="L36" s="10">
        <f>166.25+332.5</f>
        <v>498.75</v>
      </c>
      <c r="M36" s="9"/>
      <c r="N36" s="4"/>
      <c r="O36" s="10">
        <f>SUM(B36:M36)</f>
        <v>4099.25</v>
      </c>
    </row>
    <row r="37" spans="1:15" ht="12.75">
      <c r="A37" s="9" t="s">
        <v>18</v>
      </c>
      <c r="B37" s="10">
        <f>16.88+90+76.8</f>
        <v>183.68</v>
      </c>
      <c r="C37" s="20">
        <f>22.5+3+3</f>
        <v>28.5</v>
      </c>
      <c r="D37" s="20">
        <f>22.5+3+7.8+7.8</f>
        <v>41.099999999999994</v>
      </c>
      <c r="E37" s="20">
        <f>22.5+3+7.8+7.8+6</f>
        <v>47.099999999999994</v>
      </c>
      <c r="F37" s="20">
        <f>22.5+7.8</f>
        <v>30.3</v>
      </c>
      <c r="G37" s="20">
        <f>16.88+7.8</f>
        <v>24.68</v>
      </c>
      <c r="H37" s="20">
        <f>11.25+7.8+3</f>
        <v>22.05</v>
      </c>
      <c r="I37" s="20">
        <f>7.8+11.25</f>
        <v>19.05</v>
      </c>
      <c r="J37" s="10">
        <f>7.8+22.5</f>
        <v>30.3</v>
      </c>
      <c r="K37" s="10">
        <f>25+7.8</f>
        <v>32.8</v>
      </c>
      <c r="L37" s="10">
        <f>25+7.4+7.4</f>
        <v>39.8</v>
      </c>
      <c r="M37" s="9"/>
      <c r="N37" s="4"/>
      <c r="O37" s="10">
        <f>SUM(B37:M37)</f>
        <v>499.36000000000007</v>
      </c>
    </row>
    <row r="38" spans="1:15" ht="12.75">
      <c r="A38" s="9" t="s">
        <v>48</v>
      </c>
      <c r="B38" s="10">
        <v>39.9</v>
      </c>
      <c r="C38" s="20">
        <v>187.33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0">
        <v>0</v>
      </c>
      <c r="K38" s="10">
        <v>0</v>
      </c>
      <c r="L38" s="10">
        <v>0</v>
      </c>
      <c r="M38" s="9"/>
      <c r="N38" s="4"/>
      <c r="O38" s="10">
        <f>SUM(B38:M38)</f>
        <v>227.23000000000002</v>
      </c>
    </row>
    <row r="39" spans="1:15" ht="12.75">
      <c r="A39" s="9" t="s">
        <v>44</v>
      </c>
      <c r="B39" s="10">
        <v>0</v>
      </c>
      <c r="C39" s="20">
        <v>0</v>
      </c>
      <c r="D39" s="10">
        <v>647.57</v>
      </c>
      <c r="E39" s="10">
        <v>150</v>
      </c>
      <c r="F39" s="10">
        <v>0</v>
      </c>
      <c r="G39" s="20">
        <v>0</v>
      </c>
      <c r="H39" s="20">
        <v>108.66</v>
      </c>
      <c r="I39" s="10">
        <v>0</v>
      </c>
      <c r="J39" s="10">
        <v>311</v>
      </c>
      <c r="K39" s="10">
        <v>0</v>
      </c>
      <c r="L39" s="10">
        <v>0</v>
      </c>
      <c r="M39" s="9"/>
      <c r="N39" s="4"/>
      <c r="O39" s="10">
        <f>SUM(B39:M39)</f>
        <v>1217.23</v>
      </c>
    </row>
    <row r="40" spans="1:15" ht="12.75">
      <c r="A40" s="12" t="s">
        <v>19</v>
      </c>
      <c r="B40" s="10">
        <f aca="true" t="shared" si="6" ref="B40:L40">B35+B36+B37+B38+B39</f>
        <v>803.58</v>
      </c>
      <c r="C40" s="20">
        <f t="shared" si="6"/>
        <v>548.33</v>
      </c>
      <c r="D40" s="20">
        <f t="shared" si="6"/>
        <v>1021.1700000000001</v>
      </c>
      <c r="E40" s="20">
        <f t="shared" si="6"/>
        <v>1669.6</v>
      </c>
      <c r="F40" s="20">
        <f t="shared" si="6"/>
        <v>1870.8</v>
      </c>
      <c r="G40" s="20">
        <f t="shared" si="6"/>
        <v>357.18</v>
      </c>
      <c r="H40" s="20">
        <f t="shared" si="6"/>
        <v>463.21000000000004</v>
      </c>
      <c r="I40" s="20">
        <f t="shared" si="6"/>
        <v>351.55</v>
      </c>
      <c r="J40" s="20">
        <f t="shared" si="6"/>
        <v>673.8</v>
      </c>
      <c r="K40" s="20">
        <f t="shared" si="6"/>
        <v>365.3</v>
      </c>
      <c r="L40" s="20">
        <f t="shared" si="6"/>
        <v>538.55</v>
      </c>
      <c r="M40" s="9"/>
      <c r="N40" s="4"/>
      <c r="O40" s="10">
        <f>O35+O36+O37+O38+O39</f>
        <v>8663.07</v>
      </c>
    </row>
    <row r="41" spans="1:15" ht="12.75">
      <c r="A41" s="12"/>
      <c r="B41" s="10"/>
      <c r="C41" s="10"/>
      <c r="D41" s="10"/>
      <c r="E41" s="10"/>
      <c r="F41" s="10"/>
      <c r="G41" s="10"/>
      <c r="H41" s="10"/>
      <c r="I41" s="9"/>
      <c r="J41" s="10"/>
      <c r="K41" s="10"/>
      <c r="L41" s="10"/>
      <c r="M41" s="9"/>
      <c r="N41" s="4"/>
      <c r="O41" s="10"/>
    </row>
    <row r="42" spans="1:15" ht="12.75">
      <c r="A42" s="12" t="s">
        <v>29</v>
      </c>
      <c r="B42" s="10">
        <f aca="true" t="shared" si="7" ref="B42:I42">B18+B20+B25+B33+B40</f>
        <v>803.58</v>
      </c>
      <c r="C42" s="10">
        <f t="shared" si="7"/>
        <v>8358.33</v>
      </c>
      <c r="D42" s="10">
        <f t="shared" si="7"/>
        <v>16588.72</v>
      </c>
      <c r="E42" s="10">
        <f t="shared" si="7"/>
        <v>11221.6</v>
      </c>
      <c r="F42" s="10">
        <f t="shared" si="7"/>
        <v>10005.8</v>
      </c>
      <c r="G42" s="10">
        <f t="shared" si="7"/>
        <v>7472.18</v>
      </c>
      <c r="H42" s="10">
        <f t="shared" si="7"/>
        <v>7753.21</v>
      </c>
      <c r="I42" s="10">
        <f t="shared" si="7"/>
        <v>5303.55</v>
      </c>
      <c r="J42" s="10">
        <f>J18+J20+J25+J33+J40</f>
        <v>9183.8</v>
      </c>
      <c r="K42" s="10">
        <f>K18+K20+K25+K33+K40</f>
        <v>11727.3</v>
      </c>
      <c r="L42" s="10">
        <f>L18+L20+L25+L33+L40</f>
        <v>5288.55</v>
      </c>
      <c r="M42" s="9"/>
      <c r="N42" s="4"/>
      <c r="O42" s="10">
        <f>SUM(B42:M42)</f>
        <v>93706.62000000001</v>
      </c>
    </row>
    <row r="43" spans="1:15" ht="12.75">
      <c r="A43" s="6"/>
      <c r="B43" s="10"/>
      <c r="C43" s="10"/>
      <c r="D43" s="10"/>
      <c r="E43" s="10"/>
      <c r="F43" s="10"/>
      <c r="G43" s="10"/>
      <c r="H43" s="10"/>
      <c r="I43" s="9"/>
      <c r="J43" s="10"/>
      <c r="K43" s="10"/>
      <c r="L43" s="10"/>
      <c r="M43" s="9"/>
      <c r="N43" s="4"/>
      <c r="O43" s="10"/>
    </row>
    <row r="44" spans="1:15" ht="12.75">
      <c r="A44" s="6" t="s">
        <v>46</v>
      </c>
      <c r="B44" s="10">
        <f>B53</f>
        <v>0</v>
      </c>
      <c r="C44" s="10">
        <v>0</v>
      </c>
      <c r="D44" s="10">
        <v>0</v>
      </c>
      <c r="E44" s="10">
        <v>40000</v>
      </c>
      <c r="F44" s="10">
        <v>15000</v>
      </c>
      <c r="G44" s="10">
        <v>17000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9"/>
      <c r="N44" s="4"/>
      <c r="O44" s="10">
        <f>SUM(B44:M44)</f>
        <v>72000</v>
      </c>
    </row>
    <row r="45" spans="1:15" ht="12.75">
      <c r="A45" s="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4000</v>
      </c>
      <c r="I45" s="10">
        <v>2000</v>
      </c>
      <c r="J45" s="10">
        <v>4000</v>
      </c>
      <c r="K45" s="10">
        <v>5000</v>
      </c>
      <c r="L45" s="10">
        <v>0</v>
      </c>
      <c r="M45" s="9"/>
      <c r="N45" s="4"/>
      <c r="O45" s="10">
        <f>SUM(B45:M45)</f>
        <v>15000</v>
      </c>
    </row>
    <row r="46" spans="1:15" ht="12.75">
      <c r="A46" s="6"/>
      <c r="B46" s="10"/>
      <c r="C46" s="10"/>
      <c r="D46" s="10"/>
      <c r="E46" s="10"/>
      <c r="F46" s="10"/>
      <c r="G46" s="10"/>
      <c r="H46" s="10"/>
      <c r="I46" s="9"/>
      <c r="J46" s="10"/>
      <c r="K46" s="10"/>
      <c r="L46" s="10"/>
      <c r="M46" s="9"/>
      <c r="N46" s="4"/>
      <c r="O46" s="10"/>
    </row>
    <row r="47" spans="1:15" ht="12.75">
      <c r="A47" s="6"/>
      <c r="B47" s="10"/>
      <c r="C47" s="10"/>
      <c r="D47" s="10"/>
      <c r="E47" s="10"/>
      <c r="F47" s="10"/>
      <c r="G47" s="10"/>
      <c r="H47" s="10"/>
      <c r="I47" s="9"/>
      <c r="J47" s="10"/>
      <c r="K47" s="10"/>
      <c r="L47" s="10"/>
      <c r="M47" s="9"/>
      <c r="N47" s="4"/>
      <c r="O47" s="9"/>
    </row>
    <row r="48" spans="1:15" ht="12.75">
      <c r="A48" s="6" t="s">
        <v>20</v>
      </c>
      <c r="B48" s="11">
        <f>B5+B12-B42-B44+B45</f>
        <v>4527.4</v>
      </c>
      <c r="C48" s="11">
        <f>C5+C12-C42-C44+C45</f>
        <v>10216.01</v>
      </c>
      <c r="D48" s="11">
        <f>D5+D12-D42-D44+D45</f>
        <v>46961.399999999994</v>
      </c>
      <c r="E48" s="11">
        <f aca="true" t="shared" si="8" ref="E48:O48">E5+E12-E42-E44+E45</f>
        <v>19793.049999999996</v>
      </c>
      <c r="F48" s="11">
        <f t="shared" si="8"/>
        <v>7303.679999999997</v>
      </c>
      <c r="G48" s="11">
        <f t="shared" si="8"/>
        <v>2861.3899999999994</v>
      </c>
      <c r="H48" s="11">
        <f t="shared" si="8"/>
        <v>2360.6799999999994</v>
      </c>
      <c r="I48" s="11">
        <f t="shared" si="8"/>
        <v>3651.579999999999</v>
      </c>
      <c r="J48" s="11">
        <f>J5+J12-J42-J44+J45</f>
        <v>2388.3500000000004</v>
      </c>
      <c r="K48" s="11">
        <f>K5+K12-K42-K44+K45</f>
        <v>8153.6700000000055</v>
      </c>
      <c r="L48" s="11">
        <f t="shared" si="8"/>
        <v>2865.1200000000053</v>
      </c>
      <c r="M48" s="11">
        <f t="shared" si="8"/>
        <v>0</v>
      </c>
      <c r="N48" s="23">
        <f t="shared" si="8"/>
        <v>0</v>
      </c>
      <c r="O48" s="11">
        <f t="shared" si="8"/>
        <v>2865.12000000001</v>
      </c>
    </row>
    <row r="49" spans="1:15" ht="12.75">
      <c r="A49" s="9"/>
      <c r="B49" s="10"/>
      <c r="C49" s="10"/>
      <c r="D49" s="10"/>
      <c r="E49" s="10"/>
      <c r="F49" s="10"/>
      <c r="G49" s="10"/>
      <c r="H49" s="10"/>
      <c r="I49" s="9"/>
      <c r="J49" s="10"/>
      <c r="K49" s="10"/>
      <c r="L49" s="10"/>
      <c r="M49" s="9"/>
      <c r="N49" s="4"/>
      <c r="O49" s="9"/>
    </row>
    <row r="50" spans="1:15" ht="12.75">
      <c r="A50" s="6" t="s">
        <v>22</v>
      </c>
      <c r="B50" s="9"/>
      <c r="C50" s="9"/>
      <c r="D50" s="9"/>
      <c r="E50" s="9"/>
      <c r="F50" s="10"/>
      <c r="G50" s="10"/>
      <c r="H50" s="10"/>
      <c r="I50" s="9"/>
      <c r="J50" s="10"/>
      <c r="K50" s="10"/>
      <c r="L50" s="10"/>
      <c r="M50" s="9"/>
      <c r="N50" s="4"/>
      <c r="O50" s="9"/>
    </row>
    <row r="51" spans="1:15" ht="12.75">
      <c r="A51" s="9"/>
      <c r="B51" s="9"/>
      <c r="C51" s="9"/>
      <c r="D51" s="9"/>
      <c r="E51" s="9"/>
      <c r="F51" s="9"/>
      <c r="G51" s="10"/>
      <c r="H51" s="10"/>
      <c r="I51" s="9"/>
      <c r="J51" s="10"/>
      <c r="K51" s="10"/>
      <c r="L51" s="10"/>
      <c r="M51" s="9"/>
      <c r="N51" s="4"/>
      <c r="O51" s="9"/>
    </row>
    <row r="52" spans="1:15" ht="12.75">
      <c r="A52" s="9" t="s">
        <v>0</v>
      </c>
      <c r="B52" s="10">
        <v>316.65</v>
      </c>
      <c r="C52" s="10">
        <f aca="true" t="shared" si="9" ref="C52:H52">B57</f>
        <v>318.73999999999995</v>
      </c>
      <c r="D52" s="10">
        <f t="shared" si="9"/>
        <v>320.50999999999993</v>
      </c>
      <c r="E52" s="10">
        <f t="shared" si="9"/>
        <v>322.43999999999994</v>
      </c>
      <c r="F52" s="10">
        <f t="shared" si="9"/>
        <v>40485.25</v>
      </c>
      <c r="G52" s="10">
        <f t="shared" si="9"/>
        <v>55654.39</v>
      </c>
      <c r="H52" s="10">
        <f t="shared" si="9"/>
        <v>72896.79</v>
      </c>
      <c r="I52" s="10">
        <f>H57</f>
        <v>69212.73</v>
      </c>
      <c r="J52" s="10">
        <f>I57</f>
        <v>67516.59</v>
      </c>
      <c r="K52" s="10">
        <f>J57</f>
        <v>63722.45</v>
      </c>
      <c r="L52" s="10">
        <f>K57</f>
        <v>58931.549999999996</v>
      </c>
      <c r="M52" s="9"/>
      <c r="N52" s="4"/>
      <c r="O52" s="10">
        <f>B52</f>
        <v>316.65</v>
      </c>
    </row>
    <row r="53" spans="1:15" ht="12.75">
      <c r="A53" s="9" t="s">
        <v>23</v>
      </c>
      <c r="B53" s="10">
        <f>B45</f>
        <v>0</v>
      </c>
      <c r="C53" s="10">
        <v>0</v>
      </c>
      <c r="D53" s="10">
        <f aca="true" t="shared" si="10" ref="D53:L53">D44</f>
        <v>0</v>
      </c>
      <c r="E53" s="10">
        <f t="shared" si="10"/>
        <v>40000</v>
      </c>
      <c r="F53" s="10">
        <f t="shared" si="10"/>
        <v>15000</v>
      </c>
      <c r="G53" s="10">
        <f t="shared" si="10"/>
        <v>17000</v>
      </c>
      <c r="H53" s="10">
        <f t="shared" si="10"/>
        <v>0</v>
      </c>
      <c r="I53" s="10">
        <f t="shared" si="10"/>
        <v>0</v>
      </c>
      <c r="J53" s="10">
        <f t="shared" si="10"/>
        <v>0</v>
      </c>
      <c r="K53" s="10">
        <f t="shared" si="10"/>
        <v>0</v>
      </c>
      <c r="L53" s="10">
        <f t="shared" si="10"/>
        <v>0</v>
      </c>
      <c r="M53" s="9"/>
      <c r="N53" s="4"/>
      <c r="O53" s="10">
        <f>O44</f>
        <v>72000</v>
      </c>
    </row>
    <row r="54" spans="1:15" ht="12.75">
      <c r="A54" s="9" t="s">
        <v>24</v>
      </c>
      <c r="B54" s="10">
        <f>B44</f>
        <v>0</v>
      </c>
      <c r="C54" s="10">
        <v>0</v>
      </c>
      <c r="D54" s="10">
        <f>D45</f>
        <v>0</v>
      </c>
      <c r="F54" s="10">
        <f aca="true" t="shared" si="11" ref="F54:L54">F45</f>
        <v>0</v>
      </c>
      <c r="G54" s="10">
        <f t="shared" si="11"/>
        <v>0</v>
      </c>
      <c r="H54" s="10">
        <f t="shared" si="11"/>
        <v>4000</v>
      </c>
      <c r="I54" s="10">
        <f t="shared" si="11"/>
        <v>2000</v>
      </c>
      <c r="J54" s="10">
        <f t="shared" si="11"/>
        <v>4000</v>
      </c>
      <c r="K54" s="10">
        <f t="shared" si="11"/>
        <v>5000</v>
      </c>
      <c r="L54" s="10">
        <f t="shared" si="11"/>
        <v>0</v>
      </c>
      <c r="M54" s="9"/>
      <c r="N54" s="4"/>
      <c r="O54" s="10">
        <f>O45</f>
        <v>15000</v>
      </c>
    </row>
    <row r="55" spans="1:15" ht="12.75">
      <c r="A55" s="9" t="s">
        <v>25</v>
      </c>
      <c r="B55" s="10">
        <v>2.09</v>
      </c>
      <c r="C55" s="10">
        <v>1.77</v>
      </c>
      <c r="D55" s="10">
        <v>1.93</v>
      </c>
      <c r="E55" s="10">
        <v>162.81</v>
      </c>
      <c r="F55" s="9">
        <v>249.26</v>
      </c>
      <c r="G55" s="10">
        <v>242.4</v>
      </c>
      <c r="H55" s="10">
        <v>323.94</v>
      </c>
      <c r="I55" s="9">
        <v>308.54</v>
      </c>
      <c r="J55" s="10">
        <v>218.93</v>
      </c>
      <c r="K55" s="10">
        <v>226.35</v>
      </c>
      <c r="L55" s="10">
        <v>202.53</v>
      </c>
      <c r="M55" s="9"/>
      <c r="N55" s="4"/>
      <c r="O55" s="10">
        <f>SUM(B55:M55)</f>
        <v>1940.55</v>
      </c>
    </row>
    <row r="56" spans="1:15" ht="12.75">
      <c r="A56" s="21" t="s">
        <v>58</v>
      </c>
      <c r="B56" s="10">
        <v>0</v>
      </c>
      <c r="C56" s="10">
        <v>0</v>
      </c>
      <c r="D56" s="10">
        <v>0</v>
      </c>
      <c r="E56" s="10">
        <v>0</v>
      </c>
      <c r="F56" s="9">
        <v>80.12</v>
      </c>
      <c r="G56" s="10">
        <v>0</v>
      </c>
      <c r="H56" s="10">
        <f>8</f>
        <v>8</v>
      </c>
      <c r="I56" s="9">
        <v>4.68</v>
      </c>
      <c r="J56" s="10">
        <v>13.07</v>
      </c>
      <c r="K56" s="10">
        <v>17.25</v>
      </c>
      <c r="L56" s="10">
        <v>270.14</v>
      </c>
      <c r="M56" s="9"/>
      <c r="N56" s="4"/>
      <c r="O56" s="10">
        <f>SUM(B56:M56)</f>
        <v>393.26</v>
      </c>
    </row>
    <row r="57" spans="1:15" ht="12.75">
      <c r="A57" s="6" t="s">
        <v>27</v>
      </c>
      <c r="B57" s="11">
        <f aca="true" t="shared" si="12" ref="B57:H57">B52+B53-B54+B55-B56</f>
        <v>318.73999999999995</v>
      </c>
      <c r="C57" s="11">
        <f t="shared" si="12"/>
        <v>320.50999999999993</v>
      </c>
      <c r="D57" s="11">
        <f t="shared" si="12"/>
        <v>322.43999999999994</v>
      </c>
      <c r="E57" s="11">
        <f t="shared" si="12"/>
        <v>40485.25</v>
      </c>
      <c r="F57" s="11">
        <f t="shared" si="12"/>
        <v>55654.39</v>
      </c>
      <c r="G57" s="11">
        <f t="shared" si="12"/>
        <v>72896.79</v>
      </c>
      <c r="H57" s="11">
        <f t="shared" si="12"/>
        <v>69212.73</v>
      </c>
      <c r="I57" s="11">
        <f>I52+I53-I54+I55-I56</f>
        <v>67516.59</v>
      </c>
      <c r="J57" s="11">
        <f>J52+J53-J54+J55-J56</f>
        <v>63722.45</v>
      </c>
      <c r="K57" s="11">
        <f>K52+K53-K54+K55-K56</f>
        <v>58931.549999999996</v>
      </c>
      <c r="L57" s="11">
        <f>L52+L53-L54+L55-L56</f>
        <v>58863.939999999995</v>
      </c>
      <c r="M57" s="9"/>
      <c r="N57" s="4"/>
      <c r="O57" s="10">
        <f>O52+O53-O54+O55-O56</f>
        <v>58863.939999999995</v>
      </c>
    </row>
    <row r="58" spans="1:15" ht="12.75">
      <c r="A58" s="6"/>
      <c r="B58" s="11"/>
      <c r="C58" s="11"/>
      <c r="D58" s="11"/>
      <c r="E58" s="11"/>
      <c r="F58" s="6"/>
      <c r="G58" s="11"/>
      <c r="H58" s="11"/>
      <c r="I58" s="6"/>
      <c r="J58" s="10"/>
      <c r="K58" s="10"/>
      <c r="L58" s="10"/>
      <c r="M58" s="9"/>
      <c r="N58" s="4"/>
      <c r="O58" s="13"/>
    </row>
    <row r="59" spans="1:15" ht="12.75">
      <c r="A59" s="5"/>
      <c r="B59" s="17"/>
      <c r="C59" s="17"/>
      <c r="D59" s="17"/>
      <c r="E59" s="17"/>
      <c r="F59" s="5"/>
      <c r="G59" s="17"/>
      <c r="H59" s="17"/>
      <c r="I59" s="5"/>
      <c r="J59" s="17"/>
      <c r="K59" s="17"/>
      <c r="L59" s="17"/>
      <c r="M59" s="5"/>
      <c r="N59" s="4"/>
      <c r="O59" s="5"/>
    </row>
    <row r="60" spans="1:15" ht="12.75">
      <c r="A60" s="6" t="s">
        <v>26</v>
      </c>
      <c r="B60" s="11">
        <f aca="true" t="shared" si="13" ref="B60:L60">B48+B57</f>
        <v>4846.139999999999</v>
      </c>
      <c r="C60" s="11">
        <f t="shared" si="13"/>
        <v>10536.52</v>
      </c>
      <c r="D60" s="11">
        <f t="shared" si="13"/>
        <v>47283.84</v>
      </c>
      <c r="E60" s="11">
        <f t="shared" si="13"/>
        <v>60278.299999999996</v>
      </c>
      <c r="F60" s="11">
        <f t="shared" si="13"/>
        <v>62958.06999999999</v>
      </c>
      <c r="G60" s="11">
        <f t="shared" si="13"/>
        <v>75758.18</v>
      </c>
      <c r="H60" s="11">
        <f t="shared" si="13"/>
        <v>71573.40999999999</v>
      </c>
      <c r="I60" s="11">
        <f t="shared" si="13"/>
        <v>71168.17</v>
      </c>
      <c r="J60" s="11">
        <f t="shared" si="13"/>
        <v>66110.8</v>
      </c>
      <c r="K60" s="11">
        <f t="shared" si="13"/>
        <v>67085.22</v>
      </c>
      <c r="L60" s="11">
        <f t="shared" si="13"/>
        <v>61729.06</v>
      </c>
      <c r="M60" s="9"/>
      <c r="N60" s="4"/>
      <c r="O60" s="10">
        <f>O48+O57</f>
        <v>61729.060000000005</v>
      </c>
    </row>
    <row r="61" spans="1:15" ht="12.75">
      <c r="A61" s="13"/>
      <c r="B61" s="13"/>
      <c r="C61" s="13"/>
      <c r="D61" s="13"/>
      <c r="E61" s="13"/>
      <c r="F61" s="13"/>
      <c r="G61" s="25"/>
      <c r="H61" s="25"/>
      <c r="I61" s="13"/>
      <c r="J61" s="25"/>
      <c r="K61" s="25"/>
      <c r="L61" s="25"/>
      <c r="M61" s="13"/>
      <c r="N61" s="4"/>
      <c r="O61" s="13"/>
    </row>
    <row r="62" ht="12.75">
      <c r="A62" s="3" t="s">
        <v>49</v>
      </c>
    </row>
  </sheetData>
  <sheetProtection/>
  <printOptions horizontalCentered="1" verticalCentered="1"/>
  <pageMargins left="0.7874015748031497" right="0.7874015748031497" top="0.7874015748031497" bottom="0.7874015748031497" header="0.5118110236220472" footer="0.31496062992125984"/>
  <pageSetup horizontalDpi="600" verticalDpi="600" orientation="landscape" paperSize="9" scale="55" r:id="rId3"/>
  <headerFooter alignWithMargins="0">
    <oddHeader>&amp;C&amp;"Arial,Negrito"Receitas e Despesas - AFP 2012</oddHeader>
    <oddFooter>&amp;L&amp;D&amp;T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7109375" style="0" customWidth="1"/>
    <col min="2" max="2" width="10.7109375" style="0" customWidth="1"/>
  </cols>
  <sheetData>
    <row r="1" spans="2:6" ht="12.75"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lmoraes</dc:creator>
  <cp:keywords/>
  <dc:description/>
  <cp:lastModifiedBy>Luiz</cp:lastModifiedBy>
  <cp:lastPrinted>2012-02-20T17:29:04Z</cp:lastPrinted>
  <dcterms:created xsi:type="dcterms:W3CDTF">2010-12-08T13:27:46Z</dcterms:created>
  <dcterms:modified xsi:type="dcterms:W3CDTF">2012-12-06T00:00:20Z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65&quot;/&gt;&lt;CXlWorkbook id=&quot;1&quot;&gt;&lt;m_cxllink/&gt;&lt;/CXlWorkbook&gt;&lt;/root&gt;">
    <vt:bool>false</vt:bool>
  </property>
</Properties>
</file>